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cz\Documents\_GrantQ\Klienci\Deck_Dry\Kredyt_Technologiczny_2020\Ofertowanie\Budowa_hali_produkcyjnej\"/>
    </mc:Choice>
  </mc:AlternateContent>
  <xr:revisionPtr revIDLastSave="0" documentId="8_{89030319-1E16-43C4-BDB3-A6751DEF6227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TABELA ELEMENTÓW ROBÓT" sheetId="1" r:id="rId1"/>
    <sheet name="TABELA ZBIORCZA" sheetId="5" r:id="rId2"/>
  </sheets>
  <definedNames>
    <definedName name="_xlnm.Print_Area" localSheetId="0">'TABELA ELEMENTÓW ROBÓT'!$A$1:$F$179</definedName>
    <definedName name="_xlnm.Print_Area" localSheetId="1">'TABELA ZBIORCZA'!$A$1:$F$19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C18" i="1"/>
  <c r="C20" i="1"/>
  <c r="F176" i="1"/>
  <c r="F175" i="1"/>
  <c r="C167" i="1"/>
  <c r="F167" i="1" s="1"/>
  <c r="C166" i="1"/>
  <c r="F171" i="1"/>
  <c r="C50" i="1"/>
  <c r="F50" i="1" s="1"/>
  <c r="C48" i="1"/>
  <c r="C49" i="1"/>
  <c r="F49" i="1" s="1"/>
  <c r="C78" i="1"/>
  <c r="C51" i="1"/>
  <c r="F51" i="1" s="1"/>
  <c r="C169" i="1" l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20" i="1"/>
  <c r="C21" i="1"/>
  <c r="F21" i="1" s="1"/>
  <c r="C172" i="1"/>
  <c r="C122" i="1"/>
  <c r="C121" i="1"/>
  <c r="C120" i="1" s="1"/>
  <c r="C96" i="1"/>
  <c r="C117" i="1"/>
  <c r="F117" i="1" s="1"/>
  <c r="C116" i="1"/>
  <c r="F116" i="1" s="1"/>
  <c r="C100" i="1"/>
  <c r="F100" i="1"/>
  <c r="F106" i="1"/>
  <c r="C109" i="1"/>
  <c r="C118" i="1"/>
  <c r="C115" i="1"/>
  <c r="C114" i="1"/>
  <c r="C112" i="1" s="1"/>
  <c r="C113" i="1"/>
  <c r="C111" i="1" s="1"/>
  <c r="C110" i="1"/>
  <c r="C102" i="1"/>
  <c r="C99" i="1"/>
  <c r="C119" i="1"/>
  <c r="C123" i="1"/>
  <c r="C105" i="1"/>
  <c r="C104" i="1"/>
  <c r="C103" i="1"/>
  <c r="F103" i="1" s="1"/>
  <c r="C108" i="1"/>
  <c r="C42" i="1"/>
  <c r="F42" i="1" s="1"/>
  <c r="F86" i="1"/>
  <c r="C95" i="1"/>
  <c r="F95" i="1" s="1"/>
  <c r="C98" i="1"/>
  <c r="C97" i="1"/>
  <c r="C94" i="1"/>
  <c r="C92" i="1" s="1"/>
  <c r="C91" i="1"/>
  <c r="C88" i="1"/>
  <c r="C89" i="1"/>
  <c r="F132" i="1"/>
  <c r="C66" i="1"/>
  <c r="C67" i="1"/>
  <c r="C79" i="1"/>
  <c r="C80" i="1"/>
  <c r="F81" i="1"/>
  <c r="C55" i="1"/>
  <c r="C56" i="1"/>
  <c r="C54" i="1"/>
  <c r="C53" i="1"/>
  <c r="F114" i="1" l="1"/>
  <c r="C90" i="1"/>
  <c r="C93" i="1"/>
  <c r="F93" i="1" s="1"/>
  <c r="F168" i="1"/>
  <c r="F169" i="1"/>
  <c r="F170" i="1"/>
  <c r="F172" i="1"/>
  <c r="F173" i="1"/>
  <c r="F174" i="1"/>
  <c r="F177" i="1"/>
  <c r="F166" i="1"/>
  <c r="F165" i="1" s="1"/>
  <c r="F162" i="1"/>
  <c r="F163" i="1"/>
  <c r="F164" i="1"/>
  <c r="F161" i="1"/>
  <c r="F160" i="1"/>
  <c r="F159" i="1"/>
  <c r="F152" i="1"/>
  <c r="F153" i="1"/>
  <c r="F154" i="1"/>
  <c r="F155" i="1"/>
  <c r="F156" i="1"/>
  <c r="F157" i="1"/>
  <c r="F151" i="1"/>
  <c r="F142" i="1"/>
  <c r="F143" i="1"/>
  <c r="F144" i="1"/>
  <c r="F145" i="1"/>
  <c r="F146" i="1"/>
  <c r="F147" i="1"/>
  <c r="F148" i="1"/>
  <c r="F149" i="1"/>
  <c r="F141" i="1"/>
  <c r="F135" i="1"/>
  <c r="F136" i="1"/>
  <c r="F137" i="1"/>
  <c r="F138" i="1"/>
  <c r="F139" i="1"/>
  <c r="F134" i="1"/>
  <c r="F129" i="1"/>
  <c r="F130" i="1"/>
  <c r="F131" i="1"/>
  <c r="F128" i="1"/>
  <c r="F104" i="1"/>
  <c r="F105" i="1"/>
  <c r="F107" i="1"/>
  <c r="F108" i="1"/>
  <c r="F109" i="1"/>
  <c r="F110" i="1"/>
  <c r="F111" i="1"/>
  <c r="F112" i="1"/>
  <c r="F113" i="1"/>
  <c r="F115" i="1"/>
  <c r="F118" i="1"/>
  <c r="F119" i="1"/>
  <c r="F120" i="1"/>
  <c r="F121" i="1"/>
  <c r="F122" i="1"/>
  <c r="F123" i="1"/>
  <c r="F124" i="1"/>
  <c r="F125" i="1"/>
  <c r="F102" i="1"/>
  <c r="F87" i="1"/>
  <c r="F88" i="1"/>
  <c r="F89" i="1"/>
  <c r="F90" i="1"/>
  <c r="F91" i="1"/>
  <c r="F92" i="1"/>
  <c r="F94" i="1"/>
  <c r="F96" i="1"/>
  <c r="F97" i="1"/>
  <c r="F98" i="1"/>
  <c r="F99" i="1"/>
  <c r="F79" i="1"/>
  <c r="F80" i="1"/>
  <c r="F82" i="1"/>
  <c r="F83" i="1"/>
  <c r="F78" i="1"/>
  <c r="F67" i="1"/>
  <c r="F68" i="1"/>
  <c r="F69" i="1"/>
  <c r="F70" i="1"/>
  <c r="F71" i="1"/>
  <c r="F72" i="1"/>
  <c r="F73" i="1"/>
  <c r="F74" i="1"/>
  <c r="F75" i="1"/>
  <c r="F76" i="1"/>
  <c r="F66" i="1"/>
  <c r="F60" i="1"/>
  <c r="F61" i="1"/>
  <c r="F62" i="1"/>
  <c r="F63" i="1"/>
  <c r="F64" i="1"/>
  <c r="F59" i="1"/>
  <c r="F54" i="1"/>
  <c r="F55" i="1"/>
  <c r="F56" i="1"/>
  <c r="F57" i="1"/>
  <c r="F53" i="1"/>
  <c r="F47" i="1"/>
  <c r="F48" i="1"/>
  <c r="F46" i="1"/>
  <c r="F18" i="1"/>
  <c r="F19" i="1"/>
  <c r="F22" i="1"/>
  <c r="F17" i="1"/>
  <c r="F16" i="1" s="1"/>
  <c r="F6" i="1"/>
  <c r="F7" i="1"/>
  <c r="F8" i="1"/>
  <c r="F9" i="1"/>
  <c r="F10" i="1"/>
  <c r="F11" i="1"/>
  <c r="F12" i="1"/>
  <c r="F13" i="1"/>
  <c r="F14" i="1"/>
  <c r="F15" i="1"/>
  <c r="F5" i="1"/>
  <c r="F4" i="1" l="1"/>
  <c r="E4" i="5" s="1"/>
  <c r="F4" i="5" s="1"/>
  <c r="F158" i="1"/>
  <c r="F52" i="1"/>
  <c r="E52" i="1" s="1"/>
  <c r="F45" i="1"/>
  <c r="F101" i="1"/>
  <c r="F127" i="1"/>
  <c r="F150" i="1"/>
  <c r="F133" i="1"/>
  <c r="E133" i="1" s="1"/>
  <c r="F140" i="1"/>
  <c r="F77" i="1"/>
  <c r="F58" i="1"/>
  <c r="F126" i="1" l="1"/>
  <c r="E14" i="5" s="1"/>
  <c r="F14" i="5" s="1"/>
  <c r="E127" i="1"/>
  <c r="E126" i="1" l="1"/>
  <c r="E101" i="1"/>
  <c r="F84" i="1"/>
  <c r="F85" i="1"/>
  <c r="E85" i="1" s="1"/>
  <c r="E12" i="5" l="1"/>
  <c r="F12" i="5" s="1"/>
  <c r="F27" i="1"/>
  <c r="F25" i="1" l="1"/>
  <c r="F24" i="1" l="1"/>
  <c r="F28" i="1"/>
  <c r="F26" i="1" l="1"/>
  <c r="F23" i="1" s="1"/>
  <c r="E6" i="5" l="1"/>
  <c r="F6" i="5" s="1"/>
  <c r="E7" i="5" l="1"/>
  <c r="F7" i="5" s="1"/>
  <c r="F65" i="1" l="1"/>
  <c r="F178" i="1" s="1"/>
  <c r="E8" i="5" l="1"/>
  <c r="F8" i="5" s="1"/>
  <c r="F180" i="1"/>
  <c r="F181" i="1" s="1"/>
  <c r="E5" i="5" l="1"/>
  <c r="F5" i="5" s="1"/>
  <c r="E10" i="5"/>
  <c r="F10" i="5" s="1"/>
  <c r="E9" i="5"/>
  <c r="F9" i="5" s="1"/>
  <c r="E15" i="5"/>
  <c r="E23" i="1"/>
  <c r="E16" i="1" l="1"/>
  <c r="E11" i="5"/>
  <c r="F11" i="5" s="1"/>
  <c r="E4" i="1"/>
  <c r="E150" i="1"/>
  <c r="F15" i="5"/>
  <c r="E140" i="1"/>
  <c r="E13" i="5"/>
  <c r="F13" i="5" s="1"/>
  <c r="E84" i="1"/>
  <c r="E77" i="1"/>
  <c r="E65" i="1"/>
  <c r="E58" i="1"/>
  <c r="E45" i="1"/>
  <c r="E158" i="1" l="1"/>
  <c r="E16" i="5"/>
  <c r="F16" i="5" s="1"/>
  <c r="E17" i="5" l="1"/>
  <c r="F17" i="5" s="1"/>
  <c r="F18" i="5" s="1"/>
  <c r="E165" i="1"/>
</calcChain>
</file>

<file path=xl/sharedStrings.xml><?xml version="1.0" encoding="utf-8"?>
<sst xmlns="http://schemas.openxmlformats.org/spreadsheetml/2006/main" count="582" uniqueCount="357">
  <si>
    <t>L.p.</t>
  </si>
  <si>
    <t>Element robót</t>
  </si>
  <si>
    <t>Ilość</t>
  </si>
  <si>
    <t>J.m.</t>
  </si>
  <si>
    <t>Cena jedn.</t>
  </si>
  <si>
    <t>Wartość elementu wg kalkulacji</t>
  </si>
  <si>
    <t>1.</t>
  </si>
  <si>
    <t>kpl.</t>
  </si>
  <si>
    <t>1.1</t>
  </si>
  <si>
    <t>1.2</t>
  </si>
  <si>
    <t>m2</t>
  </si>
  <si>
    <t>1.3</t>
  </si>
  <si>
    <t>1.4</t>
  </si>
  <si>
    <t>m3</t>
  </si>
  <si>
    <t>2.</t>
  </si>
  <si>
    <t>2.1</t>
  </si>
  <si>
    <t>2.2</t>
  </si>
  <si>
    <t>2.3</t>
  </si>
  <si>
    <t>mb</t>
  </si>
  <si>
    <t>3.</t>
  </si>
  <si>
    <t>3.1</t>
  </si>
  <si>
    <t>4.</t>
  </si>
  <si>
    <t>4.1</t>
  </si>
  <si>
    <t>6.</t>
  </si>
  <si>
    <t>6.1</t>
  </si>
  <si>
    <t>7.</t>
  </si>
  <si>
    <t>RABAT 2%</t>
  </si>
  <si>
    <t>KOSZTY CAŁOŚCI NETTO PO RABACIE</t>
  </si>
  <si>
    <t>3.2</t>
  </si>
  <si>
    <t>5.</t>
  </si>
  <si>
    <t>5.1</t>
  </si>
  <si>
    <t>5.2</t>
  </si>
  <si>
    <t>5.3</t>
  </si>
  <si>
    <t>2.4</t>
  </si>
  <si>
    <t>2.5</t>
  </si>
  <si>
    <t>T</t>
  </si>
  <si>
    <t>4.2</t>
  </si>
  <si>
    <t>STOLARKA OKIENNA PCV, BRAMY</t>
  </si>
  <si>
    <t>POKRYCIE DACHU</t>
  </si>
  <si>
    <t>POSADZKA PRZEMYSŁOWA</t>
  </si>
  <si>
    <t>7.1</t>
  </si>
  <si>
    <t>8.</t>
  </si>
  <si>
    <t>8.1</t>
  </si>
  <si>
    <t>Prace geodezyjne na etapie budowy</t>
  </si>
  <si>
    <t>Inwentaryzacja geodezyjna powykonawcza budynku</t>
  </si>
  <si>
    <t>Nadzór geologiczny</t>
  </si>
  <si>
    <t>Tablica budowy</t>
  </si>
  <si>
    <t>1.5</t>
  </si>
  <si>
    <t>Doprowadzenie zasilania elektrycznego na czas budowy</t>
  </si>
  <si>
    <t>Ogrodzenie placu budowy</t>
  </si>
  <si>
    <t>1.6</t>
  </si>
  <si>
    <t>ORGANIZACJA PLACU BUDOWY</t>
  </si>
  <si>
    <t>ROBOTY ZIEMNE</t>
  </si>
  <si>
    <t xml:space="preserve">Dokopy ręczne </t>
  </si>
  <si>
    <t>Makroniwelacja terenu, grunt na odkład</t>
  </si>
  <si>
    <t>ROBOTY ŻELBETOWE</t>
  </si>
  <si>
    <t>3.3</t>
  </si>
  <si>
    <t>3.6</t>
  </si>
  <si>
    <t>3.7</t>
  </si>
  <si>
    <t>3.8</t>
  </si>
  <si>
    <t>3.9</t>
  </si>
  <si>
    <t>OBUDOWA ŚCIAN ZEWNĘTRZNYCH I WEWNĘTRZNYCH HALI</t>
  </si>
  <si>
    <t>8.2</t>
  </si>
  <si>
    <t>RAZEM CAŁOŚĆ PRAC NETTO</t>
  </si>
  <si>
    <t xml:space="preserve">Wykonanie podsypki zagęszczonej mechanicznie gr. 30 cm pod płytę posadzkową </t>
  </si>
  <si>
    <t xml:space="preserve">Wykonanie podkładów betonowych z betonu B10 gr. 10 cm </t>
  </si>
  <si>
    <t>6.2</t>
  </si>
  <si>
    <t>ZAGOSPODAROWANIE TERENU PRZED BUDYNKIEM</t>
  </si>
  <si>
    <t>7.4</t>
  </si>
  <si>
    <t>8.3</t>
  </si>
  <si>
    <t>8.4</t>
  </si>
  <si>
    <t>9.</t>
  </si>
  <si>
    <t>9.1</t>
  </si>
  <si>
    <t>10.1</t>
  </si>
  <si>
    <t>10.2</t>
  </si>
  <si>
    <t>Wykopy mechaniczne z wywozem i utylizacją urobku</t>
  </si>
  <si>
    <t>6.3</t>
  </si>
  <si>
    <t>6.4</t>
  </si>
  <si>
    <t>7.6</t>
  </si>
  <si>
    <t>5.4</t>
  </si>
  <si>
    <t>Dostawa i montaż okien PCV z profili 5-komorowych, K całego okna=1,3W/m2*K, okleina w kolorze grafitowym</t>
  </si>
  <si>
    <t>Wyposażenie obiektu w sprzęt p.poż. (gaśnice, koce, oznakowanie ewakuacyjne)</t>
  </si>
  <si>
    <t>Instrukcja bezpieczeństwa pożarowego</t>
  </si>
  <si>
    <t>1.7</t>
  </si>
  <si>
    <t>6.5</t>
  </si>
  <si>
    <t>6.6</t>
  </si>
  <si>
    <t>10.0</t>
  </si>
  <si>
    <t>PRACE WYKOŃCZENIOWE</t>
  </si>
  <si>
    <t>11.0</t>
  </si>
  <si>
    <t>INSTALACJE ELEKTRYCZNE I TELETECHNICZNE</t>
  </si>
  <si>
    <t>11.1</t>
  </si>
  <si>
    <t>11.2</t>
  </si>
  <si>
    <t>11.3</t>
  </si>
  <si>
    <t>11.5</t>
  </si>
  <si>
    <t>11.6</t>
  </si>
  <si>
    <t>Wykonanie instalacji odgromowej</t>
  </si>
  <si>
    <t>12.0</t>
  </si>
  <si>
    <t>12.1</t>
  </si>
  <si>
    <t>Instalacja wodociągowa wraz z instalacją hydrantową</t>
  </si>
  <si>
    <t>12.2</t>
  </si>
  <si>
    <t>Główne poziomy i piony kanalizacji sanitarnej wraz z rozprowadzeniem do przyborów</t>
  </si>
  <si>
    <t>12.3</t>
  </si>
  <si>
    <t>Instalacja centralnego ogrzewania w części biurowej</t>
  </si>
  <si>
    <t>13.1</t>
  </si>
  <si>
    <t>13.2</t>
  </si>
  <si>
    <t>13.3</t>
  </si>
  <si>
    <t>Wykonanie ogrodzenia systemowego, panelowego z siatką z prętów fi4 ocynkowanych i powlekanych w kolorze RAL7016 wys. 173 m, słupki osadzone w podmurówce prefabrykowanej URANOS, wykonanie zagospodarowania terenu wzdłuż ogrodzenia</t>
  </si>
  <si>
    <t>1.8</t>
  </si>
  <si>
    <t>1.9</t>
  </si>
  <si>
    <t>1.10</t>
  </si>
  <si>
    <t>1.11</t>
  </si>
  <si>
    <t>m-c</t>
  </si>
  <si>
    <t>8.5</t>
  </si>
  <si>
    <t>8.6</t>
  </si>
  <si>
    <t>3.11</t>
  </si>
  <si>
    <t>3.12</t>
  </si>
  <si>
    <t>INSTALACJE SANITARNE WEWNĘTRZNE</t>
  </si>
  <si>
    <t>Dostawa i montaż furtki systemowej szer. 1 mb, wypełnienie panelowe z siatką z prętów fi4 ocynkowanych i powlekanych w kolorze RAL7016 wys. 173 m</t>
  </si>
  <si>
    <t>3.13</t>
  </si>
  <si>
    <t>13.</t>
  </si>
  <si>
    <t>13.4</t>
  </si>
  <si>
    <t>13.5</t>
  </si>
  <si>
    <t>13.6</t>
  </si>
  <si>
    <t>Wykonanie opaski żwirowej dookoła budynku: żwir otoczakowy ułożony na geołókninie, opaska ograniczona obrzeżami chodnikowymi</t>
  </si>
  <si>
    <t>12.4</t>
  </si>
  <si>
    <t>INSTALACJE ZEWNĘTRZNE</t>
  </si>
  <si>
    <t>12.5</t>
  </si>
  <si>
    <t>Przyłącze energetyczne (od RG do ZK na granicy działki)</t>
  </si>
  <si>
    <t>11.4</t>
  </si>
  <si>
    <t>Humusowanie terenów zielonych warstwą ziemi urodzajnej z odkładu, czarnoziemu z zasianiem trawy</t>
  </si>
  <si>
    <t>7.8</t>
  </si>
  <si>
    <t>Dostawa i montaż bramy automatycznej, systemowej szer. 11 mb, wypełnienie z rur kwadratowych 25x25mm, ocynkowana i powlekana w kolorze RAL7016 wys. 2 m, automatyka NICE RUN 1500</t>
  </si>
  <si>
    <t>Montaż krawężników drogowych, wtopionych o wym. 100x30x15cm na ławie betonowej z obustronnym oporem</t>
  </si>
  <si>
    <t>4.3</t>
  </si>
  <si>
    <t>4.4</t>
  </si>
  <si>
    <t>Wykonanie podkładów z betonu B10 gr. 10 cm pod stopy fundamentowe</t>
  </si>
  <si>
    <t>Wykonanie stóp fundamentowych, żelbetowych z betonu B37</t>
  </si>
  <si>
    <t>Wykonanie podkładów z betonu B10 gr. 10 cm pod ławy fundamentowe</t>
  </si>
  <si>
    <t>Wykonanie ław fundamentowych, żelbetowych z betonu B37</t>
  </si>
  <si>
    <t>3.4</t>
  </si>
  <si>
    <t>3.5</t>
  </si>
  <si>
    <t>3.10</t>
  </si>
  <si>
    <t>3.14</t>
  </si>
  <si>
    <t>Wykonanie podkładów z betonu B10 gr. 10 cm pod płytę muru oporowego</t>
  </si>
  <si>
    <t>szt.</t>
  </si>
  <si>
    <t>Wykonanie podkładów z betonu B10 gr. 10 cm pod ławy fundamentowe doku rozładunkowego</t>
  </si>
  <si>
    <t>Wykonanie podkładów z betonu B10 gr. 10 cm pod płytę podwaliny doku rozładunkowego</t>
  </si>
  <si>
    <t>Wykonanie belek podwalinowych, żelbetowych gr. 20 cm z betonu B37 doku rozładunkowego</t>
  </si>
  <si>
    <t>Wykonanie podkładów z betonu B10 gr. 10 cm pod belki podwalinowe</t>
  </si>
  <si>
    <t>Wykonanie belek podwalinowych, żelbetowych gr. 18-20 cm z betonu B37</t>
  </si>
  <si>
    <t>3.15</t>
  </si>
  <si>
    <t>3.16</t>
  </si>
  <si>
    <t>3.17</t>
  </si>
  <si>
    <t>3.18</t>
  </si>
  <si>
    <t>3.19</t>
  </si>
  <si>
    <t>3.20</t>
  </si>
  <si>
    <t>3.21</t>
  </si>
  <si>
    <t>Wykonanie ław fundamentowych, żelbetowych doku rozładunkowego z betonu B37</t>
  </si>
  <si>
    <t>Wykonanie ścian żelbetowych doku rozładunkowego z betonu B37</t>
  </si>
  <si>
    <t>Wykonanie płyt fundamentowych, żelbetowych pod belki podwalinowe doku rozładunkowego z betonu B37</t>
  </si>
  <si>
    <t>Dostawa i montaż drzwi zewnętrznych, jednoskrzydłowych, wejściowych do budynku -  stalowe, systemowe WIŚNIOWSKI, wymiary 90 x 208cm, pełne, w kolorze RAL7016</t>
  </si>
  <si>
    <t>Dostawa i montaż balustrady klatki schodowej, balustrada malowana proszkowo</t>
  </si>
  <si>
    <t>4.5</t>
  </si>
  <si>
    <t>Nawierzchnia dojazdu do rampy rozładunkowej, plac manewrowy - wykonanie podbudowy z kruszywa łamanego 0/31,5 gr. 10 cm, wykonanie nawierzchni z kostki betonowej BEHATON, szarej 20x16,5x8cm, dostawa i montaż odwodnienia liniowego pod rampą rozładunkową HAURATON FASERFIX KS150 KL. D400</t>
  </si>
  <si>
    <t xml:space="preserve">Wykonanie ścian nośnych części biurowo-socjalnej z pustaków SILKA gr. 18cm </t>
  </si>
  <si>
    <t>Prefabrykacja i dostawa konstrukcji żelbetowej hali oraz stropu części biurowej zgodnie z przyjętym rozwiązaniem konstrukcyjnym firmy PEKABEX S.A. Gdańsk</t>
  </si>
  <si>
    <t>Dostawa i montaż płyt warstwowych ściennych ściany działowej wewnętrznej BALEXTHERM PU-PIR-W-ST-100.1100 0,5/0,5 9010/9010 zB poliest. L/L wraz z kompletem obróbek blacharskich cokołów, przejść przez ściany, okien, bram i naroży w kolorze RAL7016</t>
  </si>
  <si>
    <t>Dostawa  i montaż płyt warstwowych ściennych obudowy hali - BALEXTHERM MW-W-ST-200.1100 0,5/0,5 7016/9010 zB poliest. L/L wraz z kompletem obróbek blacharskich cokołów, przejść przez ściany, okien, bram i naroży w kolorze RAL7016</t>
  </si>
  <si>
    <t>Dostawa i montaż płyt warstwowych ściennych obudowy hali - BALEXTHERM PU-PIR-W-ST-100.1100 0,5/0,5 7016/9010 zB poliest. L/L wraz z kompletem obróbek blacharskich cokołów, przejść przez ściany, okien, bram i naroży w kolorze RAL7016</t>
  </si>
  <si>
    <t>Wykończenie podwalin zewnętrznych wyprawą z tynku mozaikowego h=40-145cm</t>
  </si>
  <si>
    <t>Dostawa i montaż wytyków do montażu słupów prefabrykowanych z pręta fi32</t>
  </si>
  <si>
    <t>KONSTRUKCJA HALI I RAMPY</t>
  </si>
  <si>
    <t>7.2</t>
  </si>
  <si>
    <t>7.3</t>
  </si>
  <si>
    <t>Ułożenie folii PE gr. 0,3mm klejonej na zakładach szer. 50cm</t>
  </si>
  <si>
    <t>Wykonanie warstw posadzki w pomieszczeniach socjalno-biurowych o warstwach: styrodur gr. 10cm, folia PE gr. 0,2 klejona na zakładach szer. 20cm, jastrych cementowy gr. 5cm zbrojony siatką zgrzewaną o oczkach 15x15cm fi4mm</t>
  </si>
  <si>
    <t>Instalacja oświetlenia zewnętrznego</t>
  </si>
  <si>
    <t>12.6</t>
  </si>
  <si>
    <t>Dostawa i montaż płatwi dachowych Z oraz wsporników stalowych (stoliki): hala + zadaszenie rampy</t>
  </si>
  <si>
    <t>9.2</t>
  </si>
  <si>
    <t>Dostawa i montaż drzwi zewnętrznych, dwuskrzydłowych, wejściowych do budynku -  aluminiowe otwierane, w systemie ALUPROF MB-86, wymiary 140 x 210cm, wypełnienie szkło zespolone, kolor szkła standard, na poziomie parteru szkło bezpieczne obustronnie, Uw≤1,3W/m2*K, profile w kolorze RAL7016, siłownik do napowietrzania</t>
  </si>
  <si>
    <t>Wyposażenie sanitarne (standard KOŁO, GROHE)</t>
  </si>
  <si>
    <t>Wykonanie instalacji oraz montaż oświetlenia podstawowego, awaryjnego i ewakuacyjnego</t>
  </si>
  <si>
    <t>Wykonanie instalacji zasilania gniazd wtykowych</t>
  </si>
  <si>
    <t>Wykonanie wewnętrznych linii zasilających WLZ</t>
  </si>
  <si>
    <t>Przyłącze wodociągowe (od sieci w ulicy do pom. kotłowni)</t>
  </si>
  <si>
    <t>Przyłącze kanalizacji sanitarnej (od studni w ulicy do budynku)</t>
  </si>
  <si>
    <t>Przyłącze teletechniczne (od ulicy do pom. rozdzielni)</t>
  </si>
  <si>
    <t>Wykonanie izolacji przeciwwilgociowej i termicznej podwalin od zewnątrz na wys. 80-140cm (izolacja przeciwwilgociowa powłokowa MAPEI PLASTIMUL 2K SUPER, hydropian EPS P 100 gr. 8cm)</t>
  </si>
  <si>
    <t>Dostawa i montaż konstrukcji stalowej zadaszenia rampy</t>
  </si>
  <si>
    <t>Wykonanie posadzki przemysłowej gr. 20 cm z betonu B25 rampy, zbrojonego włóknem rozproszonym w ilości 25kg/m3, zacierana mechanicznie na ostro, utwardzana powierzchniowo, na krawędzi posadzki od strony rampy kształtownik ze stali ocynkowanej DAMECH</t>
  </si>
  <si>
    <t>PARTER</t>
  </si>
  <si>
    <t>Tynki gipsowe sufitów</t>
  </si>
  <si>
    <t>Wykonanie elastycznej powłoki uszczelniającej (folii w płynie) na ścianach i posadzkach pomieszczeń mokrych do wys. 2 m SOPRO FDF525 z zastosowaniem taśm narożnikowych DB638</t>
  </si>
  <si>
    <t>Ułożenie cokołów przypodłogowych z płytek podłogowych na kleju elastycznym SOPRO</t>
  </si>
  <si>
    <t>Wykonanie sufitów podwieszanych modułowych o wymiarach 60x60cm (korytarz, pom. socjalne i WC niepełnosprawnych)</t>
  </si>
  <si>
    <t>Dostawa wykładziny dywanowej w płytkach 50x50cm</t>
  </si>
  <si>
    <t>Montaż wykładziny dywanowej w płytkach na płynie antypoślizgowym UZIN U1000</t>
  </si>
  <si>
    <t>Montaż cokołów z listwy przypodłogowej PCV Doelken z wkładką z wykładziny dywanowej</t>
  </si>
  <si>
    <t>Ścianki działowe GK gr. 12,5 cm, pokrycie obustronnie podwójna płyta GK/GKBI, wełna mineralna gr. 6cm ROCKTON, profile C75</t>
  </si>
  <si>
    <t>Ścianki działowe GK gr. 12,5 cm, pokrycie obustronnie podwójna płyta GKB, wełna mineralna gr. 6cm ROCKTON, profile C75</t>
  </si>
  <si>
    <t>9.1.1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</si>
  <si>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</si>
  <si>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</si>
  <si>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</si>
  <si>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</si>
  <si>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</si>
  <si>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</si>
  <si>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</si>
  <si>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</si>
  <si>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</si>
  <si>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</si>
  <si>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</si>
  <si>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</si>
  <si>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</si>
  <si>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</si>
  <si>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Szpachlowanie i malowanie ścian oraz sufitów farbami BRILUX w kolorach pastelowych</t>
  </si>
  <si>
    <t>PIĘTRO I</t>
  </si>
  <si>
    <t>Zabudowa ścian zewnętrznych w systemie suchej zabudowy GK na podkonstrukcji metalowej, wełna mineralna gr. 6cm ROCKTON</t>
  </si>
  <si>
    <t>Zabudowa ścianek instalacyjnych GEBERIT</t>
  </si>
  <si>
    <t>Dostawa płytek ceramicznych ściennych (do 50zł/m2)</t>
  </si>
  <si>
    <t>Dostawa płytek gresowych posadzkowych (do 50zł/m2)</t>
  </si>
  <si>
    <t>Dostawa i montaż wycieraczki zewnętrznej o wym. 120x90cm POLENTEX COMBI STANDARD w ramie z kątownika 25x25x3 ze szczotkami ryps w kolorze czerwonym - wejście główne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</si>
  <si>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</si>
  <si>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</si>
  <si>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</si>
  <si>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</si>
  <si>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</si>
  <si>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</si>
  <si>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</si>
  <si>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</si>
  <si>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</si>
  <si>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</si>
  <si>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</si>
  <si>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9.2.12</t>
  </si>
  <si>
    <t>9.2.13</t>
  </si>
  <si>
    <t>9.2.14</t>
  </si>
  <si>
    <t>9.2.15</t>
  </si>
  <si>
    <t>9.2.16</t>
  </si>
  <si>
    <t>9.2.17</t>
  </si>
  <si>
    <t>9.2.18</t>
  </si>
  <si>
    <t>9.2.19</t>
  </si>
  <si>
    <t>9.2.20</t>
  </si>
  <si>
    <t>Wykonanie sufitów podwieszanych, modułowych o wymiarach 60x60cm ROCKFON ARTIC</t>
  </si>
  <si>
    <t>Tynki gipsowe ścian klatki schodowej</t>
  </si>
  <si>
    <t xml:space="preserve">Słownie: </t>
  </si>
  <si>
    <t>Wykonanie izolacji przeciwwilgociowej muru oporowego (powłokowa z masy DYSPERBIT)</t>
  </si>
  <si>
    <t>10.</t>
  </si>
  <si>
    <t>11.</t>
  </si>
  <si>
    <t>12.</t>
  </si>
  <si>
    <t>11.7</t>
  </si>
  <si>
    <t>11.8</t>
  </si>
  <si>
    <t>13.0</t>
  </si>
  <si>
    <t>14.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</si>
  <si>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</si>
  <si>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</si>
  <si>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</si>
  <si>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</si>
  <si>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</si>
  <si>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</si>
  <si>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</si>
  <si>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</si>
  <si>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</si>
  <si>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10.1.1</t>
  </si>
  <si>
    <t>10.1.2</t>
  </si>
  <si>
    <t>10.1.3</t>
  </si>
  <si>
    <t>10.1.4</t>
  </si>
  <si>
    <t>10.2.1</t>
  </si>
  <si>
    <t>Dostawa i montaż drzwi płytowych, jednoskrzydłowych o wym. 90x205cm ozn. D4, ościeżnica metalowa obejmująca, zamek WC, podcięcie wentylacyjne, wykończenie laminat 0,7mm w kolorze szarym</t>
  </si>
  <si>
    <t>Dostawa i montaż drzwi płytowych, jednoskrzydłowych o wym. 90x208cm ozn. D12, ościeżnica stalowa obejmująca, wykończenie laminat 0,7mm w kolorze szarym</t>
  </si>
  <si>
    <t>Dostawa i montaż drzwi płytowych, jednoskrzydłowych o wym. 90x208cm ozn. D13, ościeżnica stalowa obejmująca, wykończenie laminat 0,7mm w kolorze szarym, zamek WC, podcięcie wentylacyjne</t>
  </si>
  <si>
    <t>10.2.2</t>
  </si>
  <si>
    <t>10.2.3</t>
  </si>
  <si>
    <t>10.2.4</t>
  </si>
  <si>
    <t>10.2.5</t>
  </si>
  <si>
    <t>STOLARKA I ŚLUSARKA OKIENNA I DRZWIOWA WEWNĘTRZNA</t>
  </si>
  <si>
    <t>10.2.6</t>
  </si>
  <si>
    <t>Dostawa i montaż drabiny wyjścia na dach, stal ocynkowana ogniowo</t>
  </si>
  <si>
    <t>Dostawa i montaż płyt warstwowych dachowych BALEXTHERM PU-PIR-R-120.1000 0,5/0,5 7016/9010 zB poliest. T/L wraz z kompletem obróbek blacharskich okapów, wywietrzaków, ścian oraz attyk z blachy powlekanej w kolorze ciemnoszarym</t>
  </si>
  <si>
    <t>Dostawa i montaż kompletnego systemu odwodnienia dachu budynku oraz zadaszenia rampy: rynny i rury spustowe z blachy powlekanej w kolorze RAL7016 w systemie GALECO</t>
  </si>
  <si>
    <t>Dostawa i montaż bramy segmentowej, stalowej, ocieplonej z wbudowanymi drzwiami z samozamykaczem ozn. B1 o wym. 3,0x4,0 m, napęd elektryczny z centralą sterującą, w kolorze ciemnoszarym, awaryjne otwieranie łańcuchowe, mechanizmy zabezpieczające przed opadnięciem bramy w przypadku pęknięcia sprężyn i linek, zabezpieczenie bramy za pomocą optycznej listwy bezpieczeństwa prod. HORMANN</t>
  </si>
  <si>
    <t>Dostawa i montaż bramy rolowanej z profili PA77 o wym. 3,0x4,0 m, dwuściennej ocieplonej pianką poliuretanową, napęd nasadowy, awaryjne otwieranie za pomocą korby, sterowanie przyciskiem góra-dół, automatyka z możliwością rozbudowy o sterowanie pilotem, w kolorze białym RAL9010 prod. HORMANN</t>
  </si>
  <si>
    <t>Sprzątanie pobudowlane (część biurowa + hala produkcyjno-magazynowa)</t>
  </si>
  <si>
    <t>Montaż elementów konstrukcji prefabrykowanej hali (dźwig, zwyżki, podpory pionujące, podkładki neoprenowe, zaprawa montażowa CERESIT CX-15)</t>
  </si>
  <si>
    <t>Dostawa i montaż bramy rolowanej z profili PA77 o wym. 2,5x3,0 m, dwuściennej ocieplonej pianką poliuretanową, napęd nasadowy, awaryjne otwieranie za pomocą korby, sterowanie przyciskiem góra-dół, automatyka z możliwością rozbudowy o sterowanie pilotem, w kolorze białym RAL9010 prod. HORMANN</t>
  </si>
  <si>
    <t>Dostawa i montaż klapy dymowej o pow. czynnej 1,2m2, sterowanie elektryczne MERCOR PROLIGHT PLUS C135 podstawa 500 mm 1350x1350</t>
  </si>
  <si>
    <t>Dostawa i montaż daszka szklanego nad wejściem głównym do budynku, odciągi nierdzewne</t>
  </si>
  <si>
    <t>Wykonanie posadzki przemysłowej gr. 18 cm z betonu B25 hali magazynowej, zbrojonego włóknem rozproszonym w ilości 25kg/m3, zacierana mechanicznie, utwardzana powierzchniowo, z nacięciem i wypełnieniem dylatacji masą elastyczną, na szerokości bram segmentowych montaż kątownika ze stali ocynkowanej DAMECH</t>
  </si>
  <si>
    <t>Dostawa i montaż drzwi stalowych, jednoskrzydłowych o wym. 90x208cm ozn. D1, ościeżnica stalowa obejmująca, systemowe WIŚNIOWSKI</t>
  </si>
  <si>
    <t>Dostawa i montaż drzwi stalowych, jednoskrzydłowych p.poż. o odp. ogniowej EI30 o wym. 90x208cm ozn. D2, ościeżnica stalowa obejmująca, samozamykacz, systemowe WIŚNIOWSKI</t>
  </si>
  <si>
    <t>Dostawa i montaż drzwi stalowych, dwuskrzydłowych p.poż. o odp. ogniowej EI30 o wym. (90+30)x208cm ozn. D3, ościeżnica stalowa obejmująca, samozamykacz, zamek baryłkowy, siłownik do napowietrzania, systemowe WIŚNIOWSKI</t>
  </si>
  <si>
    <t xml:space="preserve">Wykonanie instalacji zasilania urządzeń produkcyjnych </t>
  </si>
  <si>
    <t>9.2.21</t>
  </si>
  <si>
    <t>Malowanie podwaliny żelbetowej na hali produkcyjno-magazynowej w kolorzez białym</t>
  </si>
  <si>
    <t>Dostawa i montaż osprzętu elektrycznego (SIMON BASIC w kolorze białym)</t>
  </si>
  <si>
    <t>Dostawa i montaż rozdzielni elektrycznych (RG oraz rozdzielnie piętrowe)</t>
  </si>
  <si>
    <t>5.5</t>
  </si>
  <si>
    <t>7.7</t>
  </si>
  <si>
    <t>Dostawa, montaż i uszczelnienie wywietrzaków dachowych fi 315mm, ocynkowane</t>
  </si>
  <si>
    <t>7.9</t>
  </si>
  <si>
    <t>Dostawa i montaż kątowników stalowych, podparcie dla płyt świetlika na połączeniu z płytą warstwową (elementy C lub L mocowane do płatwi Z)</t>
  </si>
  <si>
    <t>Dostawa i montaż podkonstrukcji stalowej dla klapy dymowej</t>
  </si>
  <si>
    <t xml:space="preserve">Otworowanie i wykonanie uszczelnienia dachu w systemie KEMPEROL - klapa dymowa </t>
  </si>
  <si>
    <t>Otworowanie i wykonanie uszczelnienia dachu w systemie KEMPEROL - wywiewka kanalizacji sanitarnej w części biurowej</t>
  </si>
  <si>
    <t>7.5</t>
  </si>
  <si>
    <t>7.10</t>
  </si>
  <si>
    <t>Zaplecze budowy (kontener socjalny i biurowy)</t>
  </si>
  <si>
    <t>Odbiór kominiarski kotłowni</t>
  </si>
  <si>
    <t>Wykonanie instalacji teletechnicznych (LAN, SSWiN, CCTV, KD, oddymianie klatki schodowej z centralką oddymiania MERCOR)</t>
  </si>
  <si>
    <t>11.9</t>
  </si>
  <si>
    <t>Pomiary elektryczne</t>
  </si>
  <si>
    <t>Instalacja wentylacji mechanicznej  (centrala VBW SPS-ECOBOX2, sterowanie, rozprowadzenie kanałów, nawiewniki, kraty wyciągowe)</t>
  </si>
  <si>
    <t>Otworowanie i wykonanie uszczelnienia dachu w systemie KEMPEROL - podstawa komina spalinowego kotłowni</t>
  </si>
  <si>
    <t>Otworowanie i wykonanie uszczelnienia dachu w systemie KEMPEROL - podstawy wentylatorów dachowych i wyrzutni dachowej</t>
  </si>
  <si>
    <t>12.7</t>
  </si>
  <si>
    <t>Instalacja ciepła technologicznego, zasilanie centrali i agregatów grzewczych, dostawa i montaż aparatów grzewczych FLOWAIR</t>
  </si>
  <si>
    <t>Technologia kotłowni na biomasę w systemie VIESMANN wraz z kominem spalinowo wentylacyjnym fi160mm w obudowie EI60</t>
  </si>
  <si>
    <r>
      <rPr>
        <b/>
        <sz val="16"/>
        <color rgb="FF0070C0"/>
        <rFont val="Century Gothic"/>
        <family val="2"/>
        <charset val="238"/>
      </rPr>
      <t>TABELA ZBIORCZA</t>
    </r>
    <r>
      <rPr>
        <b/>
        <sz val="12"/>
        <rFont val="Century Gothic"/>
        <family val="2"/>
        <charset val="238"/>
      </rPr>
      <t xml:space="preserve">
BUDOWA HALI PRODUKCYJNO-MAGAZYNOWEJ PRZY UL. WENUS W GDAŃSKU
DZ. NR 21/24 i 21/25                                    
Inwestor: DECK-DRY POLSKA Sp. z o.o., ul. Abrahama 48, 80-307 Gdańsk</t>
    </r>
  </si>
  <si>
    <t>Dostawa i montaż zestawu pasm świetlnych, połaciowych SkyLight, poliwęglan komorowy gr. 25mm wraz z kompletem obróbek i uszczelnień</t>
  </si>
  <si>
    <t>10.1.5</t>
  </si>
  <si>
    <t>Dostawa i montaż ścianki sanitarnej WC o wym. 162x200 z drzwiami szer. 80 cm z HPL gr. 12 mm, okucia nierdzewne - toaleta</t>
  </si>
  <si>
    <t>Dostawa i montaż ścianki sanitarnej WC o wym. 239x200 z drzwiami szer. 80 cm z HPL gr. 12 mm, okucia nierdzewne - toaleta</t>
  </si>
  <si>
    <t>Dostawa i montaż ścianki sanitarnej WC o wym. 239x250cm z drzwiami szer. 80 cm z HPL gr. 12 mm, okucia nierdzewne - natrysk</t>
  </si>
  <si>
    <t>9.2.22</t>
  </si>
  <si>
    <t>Tynki gipsowe ścian wewnętrznych</t>
  </si>
  <si>
    <t>Ułożenie płytek ceramicznych ściennych na kleju elastycznym SOPRO</t>
  </si>
  <si>
    <t>Ułożenie płytek ceramicznych posadzkowych na kleju elastycznym SOPRO</t>
  </si>
  <si>
    <t>Parapety wewnętrzne okien zewnętrznych PVC</t>
  </si>
  <si>
    <t xml:space="preserve">Ścianki działowe części biurowo-socjalnej z pustaków SILKA gr. 8 cm </t>
  </si>
  <si>
    <t>Ścianki działowe GK gr. 12,5 cm, pokrycie obustronnie podwójna płyta GKB, wełna mineralna gr. 6cm ROCKTON, profile C75 - do wys. dachu</t>
  </si>
  <si>
    <t>Szpachlowanie i malowanie ścian farbami BRILUX w kolorach pastelowych</t>
  </si>
  <si>
    <t>9.2.23</t>
  </si>
  <si>
    <t>Dostawa i montaż balustrady antresoli, balustrada stalowa, malowana proszkowo</t>
  </si>
  <si>
    <t>Zabudowa wyłazu dachowego</t>
  </si>
  <si>
    <t>Ułożenie płytek ceramicznych posadzkowych na kleju elastycznym SOPRO na stopniach schodowych</t>
  </si>
  <si>
    <t>Ułożenie cokołów przypodłogowych z płytek podłogowych na kleju elastycznym SOPRO - na klatce schodowej</t>
  </si>
  <si>
    <t>9.2.24</t>
  </si>
  <si>
    <t>Dostaw i montaż witryny aluminiowej, nieotwieranej o odp. ogn. EI30 o wym. 200x120cm, montowana w ścianie GK</t>
  </si>
  <si>
    <t>2.6</t>
  </si>
  <si>
    <t>Wymiana gruntu nasypowego, pospółka wielofrakcyjna zagęszczana warstwami 30 cm do uzyskania Is=0,97</t>
  </si>
  <si>
    <t>Dostawa i montaż elementów stalowych: ryglówka stalowa pod stolarkę okienną, ślusarkę drzwiową oraz bramy przemysłowe</t>
  </si>
  <si>
    <t>Dostawa i montaż elementów stalowych: stężenia ścienne i połaciowe, tężniki</t>
  </si>
  <si>
    <t>4.6</t>
  </si>
  <si>
    <t>Nawierzchnia zjazdu z drogi dojazdowej - wykonanie podbudowy z kruszywa łamanego 0/31,5 gr. 10 cm, wykonanie nawierzchni z kostki betonowej BEHATON, szarej 20x16,5x8cm</t>
  </si>
  <si>
    <t>14.10</t>
  </si>
  <si>
    <t>14.11</t>
  </si>
  <si>
    <t>Montaż krawężników drogowych o wym. 100x30x15cm na ławie betonowej z obustronnym oporem</t>
  </si>
  <si>
    <t>Instalacja odprowadzenia wód opadowych (korytka grzebieniowe, odwodnienie liniowe rampy, studnia z pompą zatapialną) wraz z wykonaniem elementów rozsączających wody opadowe (niecki Z1 i Z2)</t>
  </si>
  <si>
    <t>14.12</t>
  </si>
  <si>
    <t>Dostawa i montaż wiaty śmietnikowej, element gotowy</t>
  </si>
  <si>
    <t>Wykonanie murowanego komina spalinowego zintegrowanego z kanałem wentylacyjnym</t>
  </si>
  <si>
    <t>Wykonanie płyty stropowej Filigran gr. 20 cm z betonu B37 wraz z wieńcem W1 oraz nadprożami N1, N2 i N3 - część biurowa</t>
  </si>
  <si>
    <t>Wykonanie biegów, podestów i belki klatki schodowej z betonu B37</t>
  </si>
  <si>
    <t>Wykonanie muru oporowego z betonu B37 wraz z elementami wykończenia dylatacji w systemie SCHOCK</t>
  </si>
  <si>
    <r>
      <rPr>
        <b/>
        <sz val="16"/>
        <color rgb="FF0070C0"/>
        <rFont val="Century Gothic"/>
        <family val="2"/>
        <charset val="238"/>
      </rPr>
      <t>PRZEDMIAR ROBÓT</t>
    </r>
    <r>
      <rPr>
        <b/>
        <sz val="12"/>
        <rFont val="Century Gothic"/>
        <family val="2"/>
        <charset val="238"/>
      </rPr>
      <t xml:space="preserve">
BUDOWA HALI PRODUKCYJNO-MAGAZYNOWEJ PRZY UL. WENUS W GDAŃSKU
DZ. NR 21/24 i 21/25                                    
Inwestor: DECK-DRY POLSKA Sp. z o.o., ul. Abrahama 48, 80-307 Gdańsk</t>
    </r>
  </si>
  <si>
    <t>Zasypanie wykopu materiałem z dowozu z zagęszczeniem warstwami 30 cm do uzyskania Is=0,97</t>
  </si>
  <si>
    <t>Zasypanie fundamentów od zewnątrz materiałem z dowozu z zagęszczeniem warstwami 30 cm do uzyskania Is=0,97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</si>
</sst>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\ _z_ł_-;\-* #,##0.00\ _z_ł_-;_-* \-??\ _z_ł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sz val="10"/>
      <color theme="0"/>
      <name val="Arial CE"/>
      <charset val="238"/>
    </font>
    <font>
      <sz val="10"/>
      <color rgb="FF0070C0"/>
      <name val="Arial CE"/>
      <charset val="238"/>
    </font>
    <font>
      <b/>
      <sz val="12"/>
      <name val="Century Gothic"/>
      <family val="2"/>
      <charset val="238"/>
    </font>
    <font>
      <b/>
      <sz val="16"/>
      <color rgb="FF0070C0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1"/>
      <name val="Century Gothic"/>
      <family val="2"/>
      <charset val="238"/>
    </font>
    <font>
      <sz val="10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1" fillId="0" borderId="0"/>
    <xf numFmtId="165" fontId="1" fillId="0" borderId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2" fillId="0" borderId="0" xfId="0" applyFont="1" applyAlignment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0" fillId="0" borderId="0" xfId="0" applyNumberFormat="1"/>
    <xf numFmtId="164" fontId="0" fillId="0" borderId="0" xfId="0" applyNumberFormat="1" applyFill="1"/>
    <xf numFmtId="165" fontId="0" fillId="0" borderId="0" xfId="0" applyNumberFormat="1"/>
    <xf numFmtId="165" fontId="0" fillId="0" borderId="0" xfId="0" applyNumberFormat="1" applyFill="1"/>
    <xf numFmtId="0" fontId="3" fillId="0" borderId="0" xfId="0" applyFont="1"/>
    <xf numFmtId="165" fontId="4" fillId="0" borderId="0" xfId="0" applyNumberFormat="1" applyFont="1"/>
    <xf numFmtId="0" fontId="7" fillId="0" borderId="0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7" fillId="0" borderId="1" xfId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0" xfId="1" applyFont="1" applyFill="1" applyBorder="1" applyAlignment="1" applyProtection="1">
      <alignment horizontal="center" vertical="center" wrapText="1"/>
    </xf>
    <xf numFmtId="165" fontId="8" fillId="2" borderId="15" xfId="0" applyNumberFormat="1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165" fontId="9" fillId="0" borderId="16" xfId="1" applyFont="1" applyFill="1" applyBorder="1" applyAlignment="1">
      <alignment horizontal="center" vertical="center" wrapText="1"/>
    </xf>
    <xf numFmtId="165" fontId="9" fillId="0" borderId="16" xfId="1" applyFont="1" applyFill="1" applyBorder="1" applyAlignment="1" applyProtection="1">
      <alignment vertical="center" wrapText="1"/>
    </xf>
    <xf numFmtId="165" fontId="9" fillId="0" borderId="16" xfId="1" applyFont="1" applyFill="1" applyBorder="1" applyAlignment="1" applyProtection="1">
      <alignment horizontal="center" vertical="center" wrapText="1"/>
    </xf>
    <xf numFmtId="165" fontId="8" fillId="3" borderId="20" xfId="0" applyNumberFormat="1" applyFont="1" applyFill="1" applyBorder="1" applyAlignment="1">
      <alignment vertical="center" wrapText="1"/>
    </xf>
    <xf numFmtId="165" fontId="8" fillId="4" borderId="5" xfId="0" applyNumberFormat="1" applyFont="1" applyFill="1" applyBorder="1" applyAlignment="1">
      <alignment vertical="center" wrapText="1"/>
    </xf>
    <xf numFmtId="0" fontId="7" fillId="0" borderId="0" xfId="0" applyFont="1"/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164" fontId="9" fillId="0" borderId="0" xfId="0" applyNumberFormat="1" applyFont="1" applyAlignment="1">
      <alignment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165" fontId="7" fillId="6" borderId="1" xfId="1" applyFont="1" applyFill="1" applyBorder="1" applyAlignment="1" applyProtection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165" fontId="7" fillId="6" borderId="10" xfId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9" fillId="0" borderId="1" xfId="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10" xfId="1" applyFont="1" applyFill="1" applyBorder="1" applyAlignment="1" applyProtection="1">
      <alignment horizontal="center" vertical="center" wrapText="1"/>
    </xf>
    <xf numFmtId="165" fontId="9" fillId="0" borderId="1" xfId="1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left" vertical="center" wrapText="1"/>
    </xf>
    <xf numFmtId="16" fontId="9" fillId="0" borderId="11" xfId="0" quotePrefix="1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1" xfId="0" quotePrefix="1" applyFont="1" applyFill="1" applyBorder="1" applyAlignment="1">
      <alignment horizontal="center" vertical="center" wrapText="1"/>
    </xf>
    <xf numFmtId="0" fontId="7" fillId="6" borderId="11" xfId="0" quotePrefix="1" applyFont="1" applyFill="1" applyBorder="1" applyAlignment="1">
      <alignment horizontal="center" vertical="center" wrapText="1"/>
    </xf>
    <xf numFmtId="165" fontId="9" fillId="0" borderId="1" xfId="3" applyFont="1" applyFill="1" applyBorder="1" applyAlignment="1" applyProtection="1">
      <alignment horizontal="center" vertical="center"/>
    </xf>
    <xf numFmtId="165" fontId="9" fillId="0" borderId="23" xfId="3" applyFont="1" applyFill="1" applyBorder="1" applyAlignment="1" applyProtection="1">
      <alignment horizontal="center" vertical="center"/>
    </xf>
    <xf numFmtId="16" fontId="9" fillId="0" borderId="9" xfId="0" quotePrefix="1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165" fontId="9" fillId="0" borderId="21" xfId="1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3" borderId="17" xfId="0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right" vertical="center" wrapText="1"/>
    </xf>
  </cellXfs>
  <cellStyles count="4">
    <cellStyle name="Dziesiętny" xfId="1" builtinId="3"/>
    <cellStyle name="Dziesiętny_Szczegółowy_budżet_realizacji__inwestycji_CREON_28_05_2010" xfId="3" xr:uid="{00000000-0005-0000-0000-000001000000}"/>
    <cellStyle name="Normalny" xfId="0" builtinId="0"/>
    <cellStyle name="Normalny_Szczegółowy_budżet_realizacji__inwestycji_CREON_28_05_2010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2"/>
  <sheetViews>
    <sheetView zoomScale="120" zoomScaleNormal="120" workbookViewId="0">
      <selection activeCell="B12" sqref="B12"/>
    </sheetView>
  </sheetViews>
  <sheetFormatPr defaultRowHeight="12.75" x14ac:dyDescent="0.2"/>
  <cols>
    <col min="1" max="1" width="8.7109375" customWidth="1"/>
    <col min="2" max="2" width="69.140625" customWidth="1"/>
    <col min="3" max="3" width="10.85546875" bestFit="1" customWidth="1"/>
    <col min="4" max="4" width="7.42578125" customWidth="1"/>
    <col min="5" max="5" width="13.42578125" customWidth="1"/>
    <col min="6" max="6" width="17.5703125" customWidth="1"/>
    <col min="7" max="7" width="12.28515625" bestFit="1" customWidth="1"/>
    <col min="8" max="8" width="8.85546875" customWidth="1"/>
    <col min="9" max="9" width="13.28515625" bestFit="1" customWidth="1"/>
  </cols>
  <sheetData>
    <row r="1" spans="1:9" ht="101.45" customHeight="1" x14ac:dyDescent="0.2">
      <c r="A1" s="57" t="s">
        <v>354</v>
      </c>
      <c r="B1" s="57"/>
      <c r="C1" s="57"/>
      <c r="D1" s="57"/>
      <c r="E1" s="57"/>
      <c r="F1" s="57"/>
    </row>
    <row r="2" spans="1:9" ht="13.5" thickBot="1" x14ac:dyDescent="0.25">
      <c r="A2" s="11"/>
      <c r="B2" s="11"/>
      <c r="C2" s="11"/>
      <c r="D2" s="11"/>
      <c r="E2" s="11"/>
      <c r="F2" s="11"/>
    </row>
    <row r="3" spans="1:9" ht="46.9" customHeight="1" thickTop="1" thickBot="1" x14ac:dyDescent="0.25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4" t="s">
        <v>5</v>
      </c>
    </row>
    <row r="4" spans="1:9" ht="13.5" customHeight="1" x14ac:dyDescent="0.2">
      <c r="A4" s="33" t="s">
        <v>6</v>
      </c>
      <c r="B4" s="34" t="s">
        <v>51</v>
      </c>
      <c r="C4" s="35">
        <v>1</v>
      </c>
      <c r="D4" s="36" t="s">
        <v>7</v>
      </c>
      <c r="E4" s="35">
        <f>F4/C4</f>
        <v>0</v>
      </c>
      <c r="F4" s="37">
        <f>SUM(F5:F15)</f>
        <v>0</v>
      </c>
    </row>
    <row r="5" spans="1:9" ht="13.5" customHeight="1" x14ac:dyDescent="0.2">
      <c r="A5" s="38" t="s">
        <v>8</v>
      </c>
      <c r="B5" s="39" t="s">
        <v>43</v>
      </c>
      <c r="C5" s="43">
        <v>1</v>
      </c>
      <c r="D5" s="41" t="s">
        <v>7</v>
      </c>
      <c r="E5" s="40"/>
      <c r="F5" s="42">
        <f t="shared" ref="F5:F22" si="0">C5*E5</f>
        <v>0</v>
      </c>
    </row>
    <row r="6" spans="1:9" ht="13.5" customHeight="1" x14ac:dyDescent="0.2">
      <c r="A6" s="38" t="s">
        <v>9</v>
      </c>
      <c r="B6" s="39" t="s">
        <v>44</v>
      </c>
      <c r="C6" s="43">
        <v>1</v>
      </c>
      <c r="D6" s="41" t="s">
        <v>7</v>
      </c>
      <c r="E6" s="40"/>
      <c r="F6" s="42">
        <f t="shared" si="0"/>
        <v>0</v>
      </c>
    </row>
    <row r="7" spans="1:9" ht="13.5" customHeight="1" x14ac:dyDescent="0.2">
      <c r="A7" s="38" t="s">
        <v>11</v>
      </c>
      <c r="B7" s="39" t="s">
        <v>45</v>
      </c>
      <c r="C7" s="43">
        <v>1</v>
      </c>
      <c r="D7" s="41" t="s">
        <v>7</v>
      </c>
      <c r="E7" s="40"/>
      <c r="F7" s="42">
        <f t="shared" si="0"/>
        <v>0</v>
      </c>
    </row>
    <row r="8" spans="1:9" ht="13.5" customHeight="1" x14ac:dyDescent="0.2">
      <c r="A8" s="38" t="s">
        <v>12</v>
      </c>
      <c r="B8" s="39" t="s">
        <v>46</v>
      </c>
      <c r="C8" s="43">
        <v>1</v>
      </c>
      <c r="D8" s="41" t="s">
        <v>7</v>
      </c>
      <c r="E8" s="40"/>
      <c r="F8" s="42">
        <f t="shared" si="0"/>
        <v>0</v>
      </c>
    </row>
    <row r="9" spans="1:9" ht="13.5" customHeight="1" x14ac:dyDescent="0.2">
      <c r="A9" s="38" t="s">
        <v>47</v>
      </c>
      <c r="B9" s="39" t="s">
        <v>49</v>
      </c>
      <c r="C9" s="43">
        <v>1</v>
      </c>
      <c r="D9" s="41" t="s">
        <v>7</v>
      </c>
      <c r="E9" s="40"/>
      <c r="F9" s="42">
        <f t="shared" si="0"/>
        <v>0</v>
      </c>
    </row>
    <row r="10" spans="1:9" ht="13.5" customHeight="1" x14ac:dyDescent="0.2">
      <c r="A10" s="38" t="s">
        <v>50</v>
      </c>
      <c r="B10" s="39" t="s">
        <v>48</v>
      </c>
      <c r="C10" s="43">
        <v>1</v>
      </c>
      <c r="D10" s="41" t="s">
        <v>7</v>
      </c>
      <c r="E10" s="40"/>
      <c r="F10" s="42">
        <f t="shared" si="0"/>
        <v>0</v>
      </c>
    </row>
    <row r="11" spans="1:9" ht="13.5" customHeight="1" x14ac:dyDescent="0.2">
      <c r="A11" s="38" t="s">
        <v>83</v>
      </c>
      <c r="B11" s="39" t="s">
        <v>306</v>
      </c>
      <c r="C11" s="43">
        <v>10</v>
      </c>
      <c r="D11" s="41" t="s">
        <v>111</v>
      </c>
      <c r="E11" s="40"/>
      <c r="F11" s="42">
        <f t="shared" si="0"/>
        <v>0</v>
      </c>
    </row>
    <row r="12" spans="1:9" ht="27" x14ac:dyDescent="0.2">
      <c r="A12" s="38" t="s">
        <v>107</v>
      </c>
      <c r="B12" s="44" t="s">
        <v>81</v>
      </c>
      <c r="C12" s="43">
        <v>1</v>
      </c>
      <c r="D12" s="41" t="s">
        <v>7</v>
      </c>
      <c r="E12" s="40"/>
      <c r="F12" s="42">
        <f t="shared" si="0"/>
        <v>0</v>
      </c>
    </row>
    <row r="13" spans="1:9" ht="13.5" customHeight="1" x14ac:dyDescent="0.2">
      <c r="A13" s="38" t="s">
        <v>108</v>
      </c>
      <c r="B13" s="44" t="s">
        <v>82</v>
      </c>
      <c r="C13" s="43">
        <v>1</v>
      </c>
      <c r="D13" s="41" t="s">
        <v>7</v>
      </c>
      <c r="E13" s="40"/>
      <c r="F13" s="42">
        <f t="shared" si="0"/>
        <v>0</v>
      </c>
    </row>
    <row r="14" spans="1:9" ht="13.5" customHeight="1" x14ac:dyDescent="0.2">
      <c r="A14" s="38" t="s">
        <v>109</v>
      </c>
      <c r="B14" s="44" t="s">
        <v>307</v>
      </c>
      <c r="C14" s="43">
        <v>1</v>
      </c>
      <c r="D14" s="41" t="s">
        <v>7</v>
      </c>
      <c r="E14" s="40"/>
      <c r="F14" s="42">
        <f t="shared" si="0"/>
        <v>0</v>
      </c>
    </row>
    <row r="15" spans="1:9" ht="27" x14ac:dyDescent="0.2">
      <c r="A15" s="38" t="s">
        <v>110</v>
      </c>
      <c r="B15" s="44" t="s">
        <v>282</v>
      </c>
      <c r="C15" s="43">
        <v>1</v>
      </c>
      <c r="D15" s="41" t="s">
        <v>7</v>
      </c>
      <c r="E15" s="40"/>
      <c r="F15" s="42">
        <f t="shared" si="0"/>
        <v>0</v>
      </c>
    </row>
    <row r="16" spans="1:9" ht="13.5" customHeight="1" x14ac:dyDescent="0.2">
      <c r="A16" s="33" t="s">
        <v>14</v>
      </c>
      <c r="B16" s="34" t="s">
        <v>52</v>
      </c>
      <c r="C16" s="35">
        <v>1</v>
      </c>
      <c r="D16" s="36" t="s">
        <v>7</v>
      </c>
      <c r="E16" s="35">
        <f>F16/C16</f>
        <v>0</v>
      </c>
      <c r="F16" s="37">
        <f>SUM(F17:F22)</f>
        <v>0</v>
      </c>
      <c r="I16" s="10"/>
    </row>
    <row r="17" spans="1:9" ht="13.5" customHeight="1" x14ac:dyDescent="0.2">
      <c r="A17" s="52" t="s">
        <v>15</v>
      </c>
      <c r="B17" s="39" t="s">
        <v>54</v>
      </c>
      <c r="C17" s="43">
        <v>1350</v>
      </c>
      <c r="D17" s="41" t="s">
        <v>10</v>
      </c>
      <c r="E17" s="40"/>
      <c r="F17" s="42">
        <f t="shared" si="0"/>
        <v>0</v>
      </c>
      <c r="I17" s="7"/>
    </row>
    <row r="18" spans="1:9" ht="13.5" customHeight="1" x14ac:dyDescent="0.2">
      <c r="A18" s="38" t="s">
        <v>16</v>
      </c>
      <c r="B18" s="39" t="s">
        <v>75</v>
      </c>
      <c r="C18" s="43">
        <f>1140*1.25*1.3</f>
        <v>1852.5</v>
      </c>
      <c r="D18" s="41" t="s">
        <v>13</v>
      </c>
      <c r="E18" s="40"/>
      <c r="F18" s="42">
        <f t="shared" si="0"/>
        <v>0</v>
      </c>
      <c r="I18" s="7"/>
    </row>
    <row r="19" spans="1:9" ht="13.5" customHeight="1" x14ac:dyDescent="0.2">
      <c r="A19" s="38" t="s">
        <v>17</v>
      </c>
      <c r="B19" s="39" t="s">
        <v>53</v>
      </c>
      <c r="C19" s="43">
        <v>25</v>
      </c>
      <c r="D19" s="41" t="s">
        <v>13</v>
      </c>
      <c r="E19" s="40"/>
      <c r="F19" s="42">
        <f t="shared" si="0"/>
        <v>0</v>
      </c>
      <c r="I19" s="7"/>
    </row>
    <row r="20" spans="1:9" ht="27" x14ac:dyDescent="0.2">
      <c r="A20" s="38" t="s">
        <v>33</v>
      </c>
      <c r="B20" s="39" t="s">
        <v>339</v>
      </c>
      <c r="C20" s="43">
        <f>1140*(1.25)</f>
        <v>1425</v>
      </c>
      <c r="D20" s="41" t="s">
        <v>13</v>
      </c>
      <c r="E20" s="40"/>
      <c r="F20" s="42">
        <f>C20*E20</f>
        <v>0</v>
      </c>
      <c r="I20" s="5"/>
    </row>
    <row r="21" spans="1:9" ht="27" x14ac:dyDescent="0.2">
      <c r="A21" s="38" t="s">
        <v>34</v>
      </c>
      <c r="B21" s="39" t="s">
        <v>355</v>
      </c>
      <c r="C21" s="43">
        <f>1140*(0.7)</f>
        <v>798</v>
      </c>
      <c r="D21" s="41" t="s">
        <v>13</v>
      </c>
      <c r="E21" s="40"/>
      <c r="F21" s="42">
        <f t="shared" ref="F21" si="1">C21*E21</f>
        <v>0</v>
      </c>
      <c r="I21" s="5"/>
    </row>
    <row r="22" spans="1:9" ht="27" x14ac:dyDescent="0.2">
      <c r="A22" s="38" t="s">
        <v>338</v>
      </c>
      <c r="B22" s="39" t="s">
        <v>356</v>
      </c>
      <c r="C22" s="43">
        <f>(39.5*2+23.3*2)*1.5*1.5</f>
        <v>282.59999999999997</v>
      </c>
      <c r="D22" s="41" t="s">
        <v>13</v>
      </c>
      <c r="E22" s="40"/>
      <c r="F22" s="42">
        <f t="shared" si="0"/>
        <v>0</v>
      </c>
      <c r="I22" s="7"/>
    </row>
    <row r="23" spans="1:9" x14ac:dyDescent="0.2">
      <c r="A23" s="33" t="s">
        <v>19</v>
      </c>
      <c r="B23" s="34" t="s">
        <v>55</v>
      </c>
      <c r="C23" s="35">
        <v>1</v>
      </c>
      <c r="D23" s="36" t="s">
        <v>7</v>
      </c>
      <c r="E23" s="35">
        <f>F23/C23</f>
        <v>0</v>
      </c>
      <c r="F23" s="37">
        <f>SUM(F24:F44)</f>
        <v>0</v>
      </c>
    </row>
    <row r="24" spans="1:9" ht="13.9" customHeight="1" x14ac:dyDescent="0.2">
      <c r="A24" s="52" t="s">
        <v>20</v>
      </c>
      <c r="B24" s="39" t="s">
        <v>135</v>
      </c>
      <c r="C24" s="43">
        <v>26.22</v>
      </c>
      <c r="D24" s="41" t="s">
        <v>13</v>
      </c>
      <c r="E24" s="40"/>
      <c r="F24" s="42">
        <f>C24*E24</f>
        <v>0</v>
      </c>
    </row>
    <row r="25" spans="1:9" ht="13.5" x14ac:dyDescent="0.2">
      <c r="A25" s="52" t="s">
        <v>28</v>
      </c>
      <c r="B25" s="39" t="s">
        <v>136</v>
      </c>
      <c r="C25" s="43">
        <v>78.75</v>
      </c>
      <c r="D25" s="41" t="s">
        <v>13</v>
      </c>
      <c r="E25" s="40"/>
      <c r="F25" s="42">
        <f t="shared" ref="F25:F83" si="2">C25*E25</f>
        <v>0</v>
      </c>
    </row>
    <row r="26" spans="1:9" ht="27" x14ac:dyDescent="0.2">
      <c r="A26" s="52" t="s">
        <v>56</v>
      </c>
      <c r="B26" s="39" t="s">
        <v>170</v>
      </c>
      <c r="C26" s="43">
        <v>1.6</v>
      </c>
      <c r="D26" s="41" t="s">
        <v>35</v>
      </c>
      <c r="E26" s="40"/>
      <c r="F26" s="42">
        <f t="shared" si="2"/>
        <v>0</v>
      </c>
      <c r="I26" s="7"/>
    </row>
    <row r="27" spans="1:9" ht="18.600000000000001" customHeight="1" x14ac:dyDescent="0.2">
      <c r="A27" s="52" t="s">
        <v>139</v>
      </c>
      <c r="B27" s="39" t="s">
        <v>137</v>
      </c>
      <c r="C27" s="43">
        <v>4.0999999999999996</v>
      </c>
      <c r="D27" s="41" t="s">
        <v>13</v>
      </c>
      <c r="E27" s="40"/>
      <c r="F27" s="42">
        <f t="shared" si="2"/>
        <v>0</v>
      </c>
      <c r="I27" s="7"/>
    </row>
    <row r="28" spans="1:9" ht="13.5" x14ac:dyDescent="0.2">
      <c r="A28" s="52" t="s">
        <v>140</v>
      </c>
      <c r="B28" s="39" t="s">
        <v>138</v>
      </c>
      <c r="C28" s="43">
        <v>6.4</v>
      </c>
      <c r="D28" s="41" t="s">
        <v>13</v>
      </c>
      <c r="E28" s="40"/>
      <c r="F28" s="42">
        <f t="shared" si="2"/>
        <v>0</v>
      </c>
      <c r="I28" s="7"/>
    </row>
    <row r="29" spans="1:9" ht="27" x14ac:dyDescent="0.2">
      <c r="A29" s="52" t="s">
        <v>57</v>
      </c>
      <c r="B29" s="39" t="s">
        <v>145</v>
      </c>
      <c r="C29" s="43">
        <v>3.76</v>
      </c>
      <c r="D29" s="41" t="s">
        <v>13</v>
      </c>
      <c r="E29" s="40"/>
      <c r="F29" s="42">
        <f t="shared" si="2"/>
        <v>0</v>
      </c>
      <c r="I29" s="7"/>
    </row>
    <row r="30" spans="1:9" ht="27" x14ac:dyDescent="0.2">
      <c r="A30" s="52" t="s">
        <v>58</v>
      </c>
      <c r="B30" s="39" t="s">
        <v>157</v>
      </c>
      <c r="C30" s="43">
        <v>2.94</v>
      </c>
      <c r="D30" s="41" t="s">
        <v>13</v>
      </c>
      <c r="E30" s="40"/>
      <c r="F30" s="42">
        <f t="shared" si="2"/>
        <v>0</v>
      </c>
      <c r="I30" s="7"/>
    </row>
    <row r="31" spans="1:9" ht="13.5" x14ac:dyDescent="0.2">
      <c r="A31" s="52" t="s">
        <v>59</v>
      </c>
      <c r="B31" s="39" t="s">
        <v>158</v>
      </c>
      <c r="C31" s="43">
        <v>4.0199999999999996</v>
      </c>
      <c r="D31" s="41" t="s">
        <v>13</v>
      </c>
      <c r="E31" s="40"/>
      <c r="F31" s="42">
        <f t="shared" si="2"/>
        <v>0</v>
      </c>
      <c r="I31" s="7"/>
    </row>
    <row r="32" spans="1:9" ht="27" x14ac:dyDescent="0.2">
      <c r="A32" s="52" t="s">
        <v>60</v>
      </c>
      <c r="B32" s="39" t="s">
        <v>146</v>
      </c>
      <c r="C32" s="43">
        <v>1.5756000000000001</v>
      </c>
      <c r="D32" s="41" t="s">
        <v>13</v>
      </c>
      <c r="E32" s="40"/>
      <c r="F32" s="42">
        <f t="shared" si="2"/>
        <v>0</v>
      </c>
      <c r="I32" s="7"/>
    </row>
    <row r="33" spans="1:9" ht="27" x14ac:dyDescent="0.2">
      <c r="A33" s="52" t="s">
        <v>141</v>
      </c>
      <c r="B33" s="39" t="s">
        <v>159</v>
      </c>
      <c r="C33" s="43">
        <v>2.4300000000000002</v>
      </c>
      <c r="D33" s="41" t="s">
        <v>13</v>
      </c>
      <c r="E33" s="40"/>
      <c r="F33" s="42">
        <f t="shared" si="2"/>
        <v>0</v>
      </c>
      <c r="I33" s="7"/>
    </row>
    <row r="34" spans="1:9" ht="27" x14ac:dyDescent="0.2">
      <c r="A34" s="52" t="s">
        <v>114</v>
      </c>
      <c r="B34" s="39" t="s">
        <v>147</v>
      </c>
      <c r="C34" s="43">
        <v>8.2899999999999991</v>
      </c>
      <c r="D34" s="41" t="s">
        <v>13</v>
      </c>
      <c r="E34" s="40"/>
      <c r="F34" s="42">
        <f t="shared" si="2"/>
        <v>0</v>
      </c>
      <c r="I34" s="7"/>
    </row>
    <row r="35" spans="1:9" ht="13.5" x14ac:dyDescent="0.2">
      <c r="A35" s="52" t="s">
        <v>115</v>
      </c>
      <c r="B35" s="39" t="s">
        <v>148</v>
      </c>
      <c r="C35" s="43">
        <v>5.31</v>
      </c>
      <c r="D35" s="41" t="s">
        <v>13</v>
      </c>
      <c r="E35" s="40"/>
      <c r="F35" s="42">
        <f t="shared" si="2"/>
        <v>0</v>
      </c>
      <c r="I35" s="7"/>
    </row>
    <row r="36" spans="1:9" ht="18.600000000000001" customHeight="1" x14ac:dyDescent="0.2">
      <c r="A36" s="52" t="s">
        <v>118</v>
      </c>
      <c r="B36" s="39" t="s">
        <v>149</v>
      </c>
      <c r="C36" s="43">
        <v>14.07</v>
      </c>
      <c r="D36" s="41" t="s">
        <v>13</v>
      </c>
      <c r="E36" s="40"/>
      <c r="F36" s="42">
        <f t="shared" si="2"/>
        <v>0</v>
      </c>
      <c r="I36" s="7"/>
    </row>
    <row r="37" spans="1:9" ht="27" x14ac:dyDescent="0.2">
      <c r="A37" s="52" t="s">
        <v>142</v>
      </c>
      <c r="B37" s="39" t="s">
        <v>351</v>
      </c>
      <c r="C37" s="43">
        <v>8.94</v>
      </c>
      <c r="D37" s="41" t="s">
        <v>13</v>
      </c>
      <c r="E37" s="40"/>
      <c r="F37" s="42">
        <f t="shared" si="2"/>
        <v>0</v>
      </c>
    </row>
    <row r="38" spans="1:9" ht="13.5" x14ac:dyDescent="0.2">
      <c r="A38" s="52" t="s">
        <v>150</v>
      </c>
      <c r="B38" s="39" t="s">
        <v>352</v>
      </c>
      <c r="C38" s="43">
        <v>3.17</v>
      </c>
      <c r="D38" s="41" t="s">
        <v>13</v>
      </c>
      <c r="E38" s="40"/>
      <c r="F38" s="42">
        <f t="shared" si="2"/>
        <v>0</v>
      </c>
    </row>
    <row r="39" spans="1:9" ht="17.45" customHeight="1" x14ac:dyDescent="0.2">
      <c r="A39" s="52" t="s">
        <v>151</v>
      </c>
      <c r="B39" s="39" t="s">
        <v>143</v>
      </c>
      <c r="C39" s="43">
        <v>3.91</v>
      </c>
      <c r="D39" s="41" t="s">
        <v>13</v>
      </c>
      <c r="E39" s="40"/>
      <c r="F39" s="42">
        <f t="shared" si="2"/>
        <v>0</v>
      </c>
    </row>
    <row r="40" spans="1:9" ht="27" x14ac:dyDescent="0.2">
      <c r="A40" s="52" t="s">
        <v>152</v>
      </c>
      <c r="B40" s="39" t="s">
        <v>353</v>
      </c>
      <c r="C40" s="43">
        <v>11.99</v>
      </c>
      <c r="D40" s="41" t="s">
        <v>13</v>
      </c>
      <c r="E40" s="40"/>
      <c r="F40" s="42">
        <f t="shared" si="2"/>
        <v>0</v>
      </c>
    </row>
    <row r="41" spans="1:9" ht="27" x14ac:dyDescent="0.2">
      <c r="A41" s="52" t="s">
        <v>153</v>
      </c>
      <c r="B41" s="39" t="s">
        <v>164</v>
      </c>
      <c r="C41" s="43">
        <v>259.38</v>
      </c>
      <c r="D41" s="41" t="s">
        <v>10</v>
      </c>
      <c r="E41" s="40"/>
      <c r="F41" s="42">
        <f t="shared" si="2"/>
        <v>0</v>
      </c>
    </row>
    <row r="42" spans="1:9" ht="27" x14ac:dyDescent="0.2">
      <c r="A42" s="52" t="s">
        <v>154</v>
      </c>
      <c r="B42" s="39" t="s">
        <v>350</v>
      </c>
      <c r="C42" s="43">
        <f>9.55</f>
        <v>9.5500000000000007</v>
      </c>
      <c r="D42" s="41" t="s">
        <v>18</v>
      </c>
      <c r="E42" s="40"/>
      <c r="F42" s="42">
        <f t="shared" si="2"/>
        <v>0</v>
      </c>
    </row>
    <row r="43" spans="1:9" ht="27" x14ac:dyDescent="0.2">
      <c r="A43" s="52" t="s">
        <v>155</v>
      </c>
      <c r="B43" s="39" t="s">
        <v>246</v>
      </c>
      <c r="C43" s="43">
        <v>81.2</v>
      </c>
      <c r="D43" s="41" t="s">
        <v>10</v>
      </c>
      <c r="E43" s="40"/>
      <c r="F43" s="42">
        <f t="shared" si="2"/>
        <v>0</v>
      </c>
    </row>
    <row r="44" spans="1:9" ht="40.5" x14ac:dyDescent="0.2">
      <c r="A44" s="52" t="s">
        <v>156</v>
      </c>
      <c r="B44" s="39" t="s">
        <v>188</v>
      </c>
      <c r="C44" s="43">
        <v>125.53</v>
      </c>
      <c r="D44" s="41" t="s">
        <v>10</v>
      </c>
      <c r="E44" s="40"/>
      <c r="F44" s="42">
        <f t="shared" si="2"/>
        <v>0</v>
      </c>
    </row>
    <row r="45" spans="1:9" s="1" customFormat="1" x14ac:dyDescent="0.2">
      <c r="A45" s="33" t="s">
        <v>21</v>
      </c>
      <c r="B45" s="34" t="s">
        <v>171</v>
      </c>
      <c r="C45" s="35">
        <v>1</v>
      </c>
      <c r="D45" s="36" t="s">
        <v>7</v>
      </c>
      <c r="E45" s="35">
        <f>F45/C45</f>
        <v>0</v>
      </c>
      <c r="F45" s="37">
        <f>SUM(F46:F51)</f>
        <v>0</v>
      </c>
    </row>
    <row r="46" spans="1:9" s="1" customFormat="1" ht="40.5" x14ac:dyDescent="0.2">
      <c r="A46" s="45" t="s">
        <v>22</v>
      </c>
      <c r="B46" s="39" t="s">
        <v>165</v>
      </c>
      <c r="C46" s="43">
        <v>1</v>
      </c>
      <c r="D46" s="41" t="s">
        <v>7</v>
      </c>
      <c r="E46" s="40"/>
      <c r="F46" s="42">
        <f t="shared" si="2"/>
        <v>0</v>
      </c>
    </row>
    <row r="47" spans="1:9" s="1" customFormat="1" ht="40.5" x14ac:dyDescent="0.2">
      <c r="A47" s="45" t="s">
        <v>36</v>
      </c>
      <c r="B47" s="39" t="s">
        <v>283</v>
      </c>
      <c r="C47" s="43">
        <v>1</v>
      </c>
      <c r="D47" s="41" t="s">
        <v>7</v>
      </c>
      <c r="E47" s="40"/>
      <c r="F47" s="42">
        <f t="shared" si="2"/>
        <v>0</v>
      </c>
      <c r="I47" s="8"/>
    </row>
    <row r="48" spans="1:9" s="1" customFormat="1" ht="27" x14ac:dyDescent="0.2">
      <c r="A48" s="45" t="s">
        <v>133</v>
      </c>
      <c r="B48" s="39" t="s">
        <v>340</v>
      </c>
      <c r="C48" s="43">
        <f>1.265+0.05</f>
        <v>1.3149999999999999</v>
      </c>
      <c r="D48" s="41" t="s">
        <v>35</v>
      </c>
      <c r="E48" s="40"/>
      <c r="F48" s="42">
        <f t="shared" si="2"/>
        <v>0</v>
      </c>
      <c r="I48" s="6"/>
    </row>
    <row r="49" spans="1:9" s="1" customFormat="1" ht="27" x14ac:dyDescent="0.2">
      <c r="A49" s="45" t="s">
        <v>134</v>
      </c>
      <c r="B49" s="39" t="s">
        <v>341</v>
      </c>
      <c r="C49" s="43">
        <f>2.281+0.05</f>
        <v>2.331</v>
      </c>
      <c r="D49" s="41" t="s">
        <v>35</v>
      </c>
      <c r="E49" s="40"/>
      <c r="F49" s="42">
        <f t="shared" ref="F49:F50" si="3">C49*E49</f>
        <v>0</v>
      </c>
      <c r="I49" s="6"/>
    </row>
    <row r="50" spans="1:9" s="1" customFormat="1" ht="27" x14ac:dyDescent="0.2">
      <c r="A50" s="45" t="s">
        <v>162</v>
      </c>
      <c r="B50" s="39" t="s">
        <v>178</v>
      </c>
      <c r="C50" s="43">
        <f>7.03+0.5</f>
        <v>7.53</v>
      </c>
      <c r="D50" s="41" t="s">
        <v>35</v>
      </c>
      <c r="E50" s="40"/>
      <c r="F50" s="42">
        <f t="shared" si="3"/>
        <v>0</v>
      </c>
      <c r="I50" s="6"/>
    </row>
    <row r="51" spans="1:9" s="1" customFormat="1" ht="13.5" x14ac:dyDescent="0.2">
      <c r="A51" s="45" t="s">
        <v>342</v>
      </c>
      <c r="B51" s="39" t="s">
        <v>189</v>
      </c>
      <c r="C51" s="43">
        <f>(488.85+394.34+452.36+251.9)/1000+0.05</f>
        <v>1.6374500000000003</v>
      </c>
      <c r="D51" s="41" t="s">
        <v>35</v>
      </c>
      <c r="E51" s="40"/>
      <c r="F51" s="42">
        <f>C51*E51</f>
        <v>0</v>
      </c>
      <c r="I51" s="6"/>
    </row>
    <row r="52" spans="1:9" s="1" customFormat="1" x14ac:dyDescent="0.2">
      <c r="A52" s="33" t="s">
        <v>29</v>
      </c>
      <c r="B52" s="34" t="s">
        <v>61</v>
      </c>
      <c r="C52" s="35">
        <v>1</v>
      </c>
      <c r="D52" s="36" t="s">
        <v>7</v>
      </c>
      <c r="E52" s="35">
        <f>F52/C52</f>
        <v>0</v>
      </c>
      <c r="F52" s="37">
        <f>SUM(F53:F57)</f>
        <v>0</v>
      </c>
    </row>
    <row r="53" spans="1:9" s="1" customFormat="1" ht="54" x14ac:dyDescent="0.2">
      <c r="A53" s="45" t="s">
        <v>30</v>
      </c>
      <c r="B53" s="39" t="s">
        <v>167</v>
      </c>
      <c r="C53" s="43">
        <f>312.82+192.61</f>
        <v>505.43</v>
      </c>
      <c r="D53" s="41" t="s">
        <v>10</v>
      </c>
      <c r="E53" s="40"/>
      <c r="F53" s="42">
        <f t="shared" si="2"/>
        <v>0</v>
      </c>
    </row>
    <row r="54" spans="1:9" s="1" customFormat="1" ht="54" x14ac:dyDescent="0.2">
      <c r="A54" s="45" t="s">
        <v>31</v>
      </c>
      <c r="B54" s="39" t="s">
        <v>168</v>
      </c>
      <c r="C54" s="43">
        <f>181.5+294.1+7.2+29.11+34.2</f>
        <v>546.11</v>
      </c>
      <c r="D54" s="41" t="s">
        <v>10</v>
      </c>
      <c r="E54" s="40"/>
      <c r="F54" s="42">
        <f t="shared" si="2"/>
        <v>0</v>
      </c>
    </row>
    <row r="55" spans="1:9" s="1" customFormat="1" ht="27" x14ac:dyDescent="0.2">
      <c r="A55" s="45" t="s">
        <v>32</v>
      </c>
      <c r="B55" s="39" t="s">
        <v>169</v>
      </c>
      <c r="C55" s="43">
        <f>59.75</f>
        <v>59.75</v>
      </c>
      <c r="D55" s="41" t="s">
        <v>10</v>
      </c>
      <c r="E55" s="40"/>
      <c r="F55" s="42">
        <f t="shared" si="2"/>
        <v>0</v>
      </c>
    </row>
    <row r="56" spans="1:9" s="1" customFormat="1" ht="54" x14ac:dyDescent="0.2">
      <c r="A56" s="45" t="s">
        <v>79</v>
      </c>
      <c r="B56" s="39" t="s">
        <v>166</v>
      </c>
      <c r="C56" s="43">
        <f>142.95</f>
        <v>142.94999999999999</v>
      </c>
      <c r="D56" s="41" t="s">
        <v>10</v>
      </c>
      <c r="E56" s="40"/>
      <c r="F56" s="42">
        <f t="shared" si="2"/>
        <v>0</v>
      </c>
    </row>
    <row r="57" spans="1:9" s="1" customFormat="1" ht="27" x14ac:dyDescent="0.2">
      <c r="A57" s="45" t="s">
        <v>296</v>
      </c>
      <c r="B57" s="47" t="s">
        <v>286</v>
      </c>
      <c r="C57" s="43">
        <v>1</v>
      </c>
      <c r="D57" s="41" t="s">
        <v>7</v>
      </c>
      <c r="E57" s="40"/>
      <c r="F57" s="42">
        <f t="shared" si="2"/>
        <v>0</v>
      </c>
    </row>
    <row r="58" spans="1:9" s="1" customFormat="1" x14ac:dyDescent="0.2">
      <c r="A58" s="33" t="s">
        <v>23</v>
      </c>
      <c r="B58" s="34" t="s">
        <v>37</v>
      </c>
      <c r="C58" s="35">
        <v>1</v>
      </c>
      <c r="D58" s="36" t="s">
        <v>7</v>
      </c>
      <c r="E58" s="35">
        <f>F58/C58</f>
        <v>0</v>
      </c>
      <c r="F58" s="37">
        <f>SUM(F59:F64)</f>
        <v>0</v>
      </c>
    </row>
    <row r="59" spans="1:9" s="1" customFormat="1" ht="87.6" customHeight="1" x14ac:dyDescent="0.2">
      <c r="A59" s="46" t="s">
        <v>24</v>
      </c>
      <c r="B59" s="39" t="s">
        <v>280</v>
      </c>
      <c r="C59" s="43">
        <v>2</v>
      </c>
      <c r="D59" s="41" t="s">
        <v>7</v>
      </c>
      <c r="E59" s="40"/>
      <c r="F59" s="42">
        <f t="shared" si="2"/>
        <v>0</v>
      </c>
    </row>
    <row r="60" spans="1:9" s="1" customFormat="1" ht="67.5" x14ac:dyDescent="0.2">
      <c r="A60" s="46" t="s">
        <v>66</v>
      </c>
      <c r="B60" s="47" t="s">
        <v>284</v>
      </c>
      <c r="C60" s="43">
        <v>1</v>
      </c>
      <c r="D60" s="41" t="s">
        <v>7</v>
      </c>
      <c r="E60" s="40"/>
      <c r="F60" s="42">
        <f t="shared" si="2"/>
        <v>0</v>
      </c>
    </row>
    <row r="61" spans="1:9" s="1" customFormat="1" ht="66.599999999999994" customHeight="1" x14ac:dyDescent="0.2">
      <c r="A61" s="46" t="s">
        <v>76</v>
      </c>
      <c r="B61" s="47" t="s">
        <v>281</v>
      </c>
      <c r="C61" s="43">
        <v>1</v>
      </c>
      <c r="D61" s="41" t="s">
        <v>7</v>
      </c>
      <c r="E61" s="40"/>
      <c r="F61" s="42">
        <f t="shared" si="2"/>
        <v>0</v>
      </c>
    </row>
    <row r="62" spans="1:9" s="1" customFormat="1" ht="27" x14ac:dyDescent="0.2">
      <c r="A62" s="46" t="s">
        <v>77</v>
      </c>
      <c r="B62" s="39" t="s">
        <v>80</v>
      </c>
      <c r="C62" s="43">
        <v>16.25</v>
      </c>
      <c r="D62" s="41" t="s">
        <v>10</v>
      </c>
      <c r="E62" s="40"/>
      <c r="F62" s="42">
        <f t="shared" si="2"/>
        <v>0</v>
      </c>
    </row>
    <row r="63" spans="1:9" s="1" customFormat="1" ht="67.5" x14ac:dyDescent="0.2">
      <c r="A63" s="46" t="s">
        <v>84</v>
      </c>
      <c r="B63" s="47" t="s">
        <v>180</v>
      </c>
      <c r="C63" s="43">
        <v>1</v>
      </c>
      <c r="D63" s="41" t="s">
        <v>7</v>
      </c>
      <c r="E63" s="40"/>
      <c r="F63" s="42">
        <f t="shared" si="2"/>
        <v>0</v>
      </c>
    </row>
    <row r="64" spans="1:9" s="1" customFormat="1" ht="40.5" x14ac:dyDescent="0.2">
      <c r="A64" s="46" t="s">
        <v>85</v>
      </c>
      <c r="B64" s="47" t="s">
        <v>160</v>
      </c>
      <c r="C64" s="43">
        <v>3</v>
      </c>
      <c r="D64" s="41" t="s">
        <v>7</v>
      </c>
      <c r="E64" s="40"/>
      <c r="F64" s="42">
        <f t="shared" si="2"/>
        <v>0</v>
      </c>
    </row>
    <row r="65" spans="1:9" s="1" customFormat="1" x14ac:dyDescent="0.2">
      <c r="A65" s="33" t="s">
        <v>25</v>
      </c>
      <c r="B65" s="34" t="s">
        <v>38</v>
      </c>
      <c r="C65" s="35">
        <v>1</v>
      </c>
      <c r="D65" s="36" t="s">
        <v>7</v>
      </c>
      <c r="E65" s="35">
        <f>F65/C65</f>
        <v>0</v>
      </c>
      <c r="F65" s="37">
        <f>SUM(F66:F75)</f>
        <v>0</v>
      </c>
    </row>
    <row r="66" spans="1:9" s="1" customFormat="1" ht="54" x14ac:dyDescent="0.2">
      <c r="A66" s="46" t="s">
        <v>40</v>
      </c>
      <c r="B66" s="39" t="s">
        <v>278</v>
      </c>
      <c r="C66" s="43">
        <f>42.9+39.95*23.98-137.94</f>
        <v>862.96100000000001</v>
      </c>
      <c r="D66" s="41" t="s">
        <v>10</v>
      </c>
      <c r="E66" s="40"/>
      <c r="F66" s="42">
        <f t="shared" si="2"/>
        <v>0</v>
      </c>
    </row>
    <row r="67" spans="1:9" s="1" customFormat="1" ht="40.5" x14ac:dyDescent="0.2">
      <c r="A67" s="48" t="s">
        <v>172</v>
      </c>
      <c r="B67" s="39" t="s">
        <v>279</v>
      </c>
      <c r="C67" s="43">
        <f>39.95*2+6</f>
        <v>85.9</v>
      </c>
      <c r="D67" s="41" t="s">
        <v>18</v>
      </c>
      <c r="E67" s="40"/>
      <c r="F67" s="42">
        <f t="shared" si="2"/>
        <v>0</v>
      </c>
      <c r="G67" s="6"/>
    </row>
    <row r="68" spans="1:9" s="1" customFormat="1" ht="27.6" customHeight="1" x14ac:dyDescent="0.2">
      <c r="A68" s="48" t="s">
        <v>173</v>
      </c>
      <c r="B68" s="39" t="s">
        <v>300</v>
      </c>
      <c r="C68" s="43">
        <v>1</v>
      </c>
      <c r="D68" s="41" t="s">
        <v>7</v>
      </c>
      <c r="E68" s="40"/>
      <c r="F68" s="42">
        <f t="shared" si="2"/>
        <v>0</v>
      </c>
    </row>
    <row r="69" spans="1:9" s="1" customFormat="1" ht="40.5" x14ac:dyDescent="0.2">
      <c r="A69" s="48" t="s">
        <v>68</v>
      </c>
      <c r="B69" s="47" t="s">
        <v>318</v>
      </c>
      <c r="C69" s="43">
        <v>137.94</v>
      </c>
      <c r="D69" s="41" t="s">
        <v>10</v>
      </c>
      <c r="E69" s="40"/>
      <c r="F69" s="42">
        <f t="shared" si="2"/>
        <v>0</v>
      </c>
    </row>
    <row r="70" spans="1:9" s="1" customFormat="1" ht="13.5" x14ac:dyDescent="0.2">
      <c r="A70" s="48" t="s">
        <v>304</v>
      </c>
      <c r="B70" s="47" t="s">
        <v>301</v>
      </c>
      <c r="C70" s="43">
        <v>1</v>
      </c>
      <c r="D70" s="41" t="s">
        <v>7</v>
      </c>
      <c r="E70" s="40"/>
      <c r="F70" s="42">
        <f t="shared" si="2"/>
        <v>0</v>
      </c>
    </row>
    <row r="71" spans="1:9" s="1" customFormat="1" ht="27" x14ac:dyDescent="0.2">
      <c r="A71" s="48" t="s">
        <v>78</v>
      </c>
      <c r="B71" s="47" t="s">
        <v>302</v>
      </c>
      <c r="C71" s="43">
        <v>1</v>
      </c>
      <c r="D71" s="41" t="s">
        <v>7</v>
      </c>
      <c r="E71" s="40"/>
      <c r="F71" s="42">
        <f t="shared" si="2"/>
        <v>0</v>
      </c>
    </row>
    <row r="72" spans="1:9" s="1" customFormat="1" ht="27" x14ac:dyDescent="0.2">
      <c r="A72" s="48" t="s">
        <v>297</v>
      </c>
      <c r="B72" s="47" t="s">
        <v>285</v>
      </c>
      <c r="C72" s="43">
        <v>1</v>
      </c>
      <c r="D72" s="41" t="s">
        <v>7</v>
      </c>
      <c r="E72" s="40"/>
      <c r="F72" s="42">
        <f t="shared" si="2"/>
        <v>0</v>
      </c>
    </row>
    <row r="73" spans="1:9" s="1" customFormat="1" ht="27" x14ac:dyDescent="0.2">
      <c r="A73" s="48" t="s">
        <v>130</v>
      </c>
      <c r="B73" s="47" t="s">
        <v>298</v>
      </c>
      <c r="C73" s="43">
        <v>4</v>
      </c>
      <c r="D73" s="41" t="s">
        <v>7</v>
      </c>
      <c r="E73" s="40"/>
      <c r="F73" s="42">
        <f t="shared" si="2"/>
        <v>0</v>
      </c>
    </row>
    <row r="74" spans="1:9" s="1" customFormat="1" ht="27" x14ac:dyDescent="0.2">
      <c r="A74" s="48" t="s">
        <v>299</v>
      </c>
      <c r="B74" s="47" t="s">
        <v>303</v>
      </c>
      <c r="C74" s="43">
        <v>1</v>
      </c>
      <c r="D74" s="41" t="s">
        <v>7</v>
      </c>
      <c r="E74" s="40"/>
      <c r="F74" s="42">
        <f t="shared" si="2"/>
        <v>0</v>
      </c>
    </row>
    <row r="75" spans="1:9" s="1" customFormat="1" ht="27" x14ac:dyDescent="0.2">
      <c r="A75" s="48" t="s">
        <v>305</v>
      </c>
      <c r="B75" s="47" t="s">
        <v>312</v>
      </c>
      <c r="C75" s="43">
        <v>1</v>
      </c>
      <c r="D75" s="41" t="s">
        <v>7</v>
      </c>
      <c r="E75" s="40"/>
      <c r="F75" s="42">
        <f t="shared" si="2"/>
        <v>0</v>
      </c>
    </row>
    <row r="76" spans="1:9" s="1" customFormat="1" ht="27" x14ac:dyDescent="0.2">
      <c r="A76" s="48"/>
      <c r="B76" s="47" t="s">
        <v>313</v>
      </c>
      <c r="C76" s="43">
        <v>5</v>
      </c>
      <c r="D76" s="41" t="s">
        <v>7</v>
      </c>
      <c r="E76" s="40"/>
      <c r="F76" s="42">
        <f t="shared" si="2"/>
        <v>0</v>
      </c>
    </row>
    <row r="77" spans="1:9" s="1" customFormat="1" ht="12.6" customHeight="1" x14ac:dyDescent="0.2">
      <c r="A77" s="33" t="s">
        <v>41</v>
      </c>
      <c r="B77" s="34" t="s">
        <v>39</v>
      </c>
      <c r="C77" s="35">
        <v>1</v>
      </c>
      <c r="D77" s="36" t="s">
        <v>7</v>
      </c>
      <c r="E77" s="35">
        <f>F77/C77</f>
        <v>0</v>
      </c>
      <c r="F77" s="37">
        <f>SUM(F78:F83)</f>
        <v>0</v>
      </c>
    </row>
    <row r="78" spans="1:9" s="1" customFormat="1" ht="27" x14ac:dyDescent="0.2">
      <c r="A78" s="46" t="s">
        <v>42</v>
      </c>
      <c r="B78" s="39" t="s">
        <v>64</v>
      </c>
      <c r="C78" s="43">
        <f>0.3*(23.3-0.5)*(39.5-0.5)</f>
        <v>266.76</v>
      </c>
      <c r="D78" s="41" t="s">
        <v>13</v>
      </c>
      <c r="E78" s="40"/>
      <c r="F78" s="42">
        <f t="shared" si="2"/>
        <v>0</v>
      </c>
      <c r="I78" s="6"/>
    </row>
    <row r="79" spans="1:9" s="1" customFormat="1" ht="13.5" x14ac:dyDescent="0.2">
      <c r="A79" s="46" t="s">
        <v>62</v>
      </c>
      <c r="B79" s="39" t="s">
        <v>65</v>
      </c>
      <c r="C79" s="43">
        <f>0.11*830*1.05</f>
        <v>95.864999999999995</v>
      </c>
      <c r="D79" s="41" t="s">
        <v>13</v>
      </c>
      <c r="E79" s="40"/>
      <c r="F79" s="42">
        <f t="shared" si="2"/>
        <v>0</v>
      </c>
    </row>
    <row r="80" spans="1:9" s="1" customFormat="1" ht="13.5" x14ac:dyDescent="0.2">
      <c r="A80" s="46" t="s">
        <v>69</v>
      </c>
      <c r="B80" s="39" t="s">
        <v>174</v>
      </c>
      <c r="C80" s="43">
        <f>(23.3-0.5)*(39.5-0.5)*2.2</f>
        <v>1956.2400000000002</v>
      </c>
      <c r="D80" s="41" t="s">
        <v>10</v>
      </c>
      <c r="E80" s="40"/>
      <c r="F80" s="42">
        <f t="shared" si="2"/>
        <v>0</v>
      </c>
    </row>
    <row r="81" spans="1:9" s="1" customFormat="1" ht="67.5" x14ac:dyDescent="0.2">
      <c r="A81" s="46" t="s">
        <v>70</v>
      </c>
      <c r="B81" s="39" t="s">
        <v>287</v>
      </c>
      <c r="C81" s="43">
        <v>830</v>
      </c>
      <c r="D81" s="41" t="s">
        <v>10</v>
      </c>
      <c r="E81" s="40"/>
      <c r="F81" s="42">
        <f t="shared" si="2"/>
        <v>0</v>
      </c>
      <c r="I81" s="6"/>
    </row>
    <row r="82" spans="1:9" s="1" customFormat="1" ht="54" x14ac:dyDescent="0.2">
      <c r="A82" s="46" t="s">
        <v>112</v>
      </c>
      <c r="B82" s="39" t="s">
        <v>175</v>
      </c>
      <c r="C82" s="43">
        <v>138.57</v>
      </c>
      <c r="D82" s="41" t="s">
        <v>10</v>
      </c>
      <c r="E82" s="40"/>
      <c r="F82" s="42">
        <f>C81*E82</f>
        <v>0</v>
      </c>
      <c r="I82" s="6"/>
    </row>
    <row r="83" spans="1:9" s="1" customFormat="1" ht="54" x14ac:dyDescent="0.2">
      <c r="A83" s="46" t="s">
        <v>113</v>
      </c>
      <c r="B83" s="39" t="s">
        <v>190</v>
      </c>
      <c r="C83" s="43">
        <v>38</v>
      </c>
      <c r="D83" s="41" t="s">
        <v>10</v>
      </c>
      <c r="E83" s="40"/>
      <c r="F83" s="42">
        <f t="shared" si="2"/>
        <v>0</v>
      </c>
    </row>
    <row r="84" spans="1:9" s="1" customFormat="1" x14ac:dyDescent="0.2">
      <c r="A84" s="33" t="s">
        <v>71</v>
      </c>
      <c r="B84" s="34" t="s">
        <v>87</v>
      </c>
      <c r="C84" s="35">
        <v>1</v>
      </c>
      <c r="D84" s="36" t="s">
        <v>7</v>
      </c>
      <c r="E84" s="35">
        <f>F84/C84</f>
        <v>0</v>
      </c>
      <c r="F84" s="37">
        <f>SUM(F127,F101)</f>
        <v>0</v>
      </c>
    </row>
    <row r="85" spans="1:9" s="1" customFormat="1" x14ac:dyDescent="0.2">
      <c r="A85" s="49" t="s">
        <v>72</v>
      </c>
      <c r="B85" s="34" t="s">
        <v>191</v>
      </c>
      <c r="C85" s="35">
        <v>1</v>
      </c>
      <c r="D85" s="36" t="s">
        <v>7</v>
      </c>
      <c r="E85" s="35">
        <f>F85/C85</f>
        <v>0</v>
      </c>
      <c r="F85" s="37">
        <f>SUM(F86:F99)</f>
        <v>0</v>
      </c>
    </row>
    <row r="86" spans="1:9" s="1" customFormat="1" ht="13.5" x14ac:dyDescent="0.2">
      <c r="A86" s="45" t="s">
        <v>201</v>
      </c>
      <c r="B86" s="39" t="s">
        <v>328</v>
      </c>
      <c r="C86" s="43">
        <v>33.75</v>
      </c>
      <c r="D86" s="41" t="s">
        <v>10</v>
      </c>
      <c r="E86" s="40"/>
      <c r="F86" s="42">
        <f>C86*E86</f>
        <v>0</v>
      </c>
    </row>
    <row r="87" spans="1:9" s="1" customFormat="1" ht="13.5" x14ac:dyDescent="0.2">
      <c r="A87" s="45" t="s">
        <v>202</v>
      </c>
      <c r="B87" s="47" t="s">
        <v>219</v>
      </c>
      <c r="C87" s="43">
        <v>1</v>
      </c>
      <c r="D87" s="41" t="s">
        <v>7</v>
      </c>
      <c r="E87" s="40"/>
      <c r="F87" s="42">
        <f t="shared" ref="F87:F125" si="4">C87*E87</f>
        <v>0</v>
      </c>
    </row>
    <row r="88" spans="1:9" s="1" customFormat="1" ht="13.5" x14ac:dyDescent="0.2">
      <c r="A88" s="45" t="s">
        <v>203</v>
      </c>
      <c r="B88" s="47" t="s">
        <v>324</v>
      </c>
      <c r="C88" s="43">
        <f>20.7*3.11+2.95*(14.14+15.8+9.2+12.89+16.36+16.8+6.8+8.6)</f>
        <v>361.11750000000001</v>
      </c>
      <c r="D88" s="41" t="s">
        <v>10</v>
      </c>
      <c r="E88" s="40"/>
      <c r="F88" s="42">
        <f t="shared" si="4"/>
        <v>0</v>
      </c>
    </row>
    <row r="89" spans="1:9" s="1" customFormat="1" ht="13.5" x14ac:dyDescent="0.2">
      <c r="A89" s="45" t="s">
        <v>204</v>
      </c>
      <c r="B89" s="47" t="s">
        <v>192</v>
      </c>
      <c r="C89" s="43">
        <f>10.44+9.43+4.18+6.99+15.91+17+2.81+4.08</f>
        <v>70.84</v>
      </c>
      <c r="D89" s="50" t="s">
        <v>10</v>
      </c>
      <c r="E89" s="50"/>
      <c r="F89" s="42">
        <f t="shared" si="4"/>
        <v>0</v>
      </c>
    </row>
    <row r="90" spans="1:9" s="1" customFormat="1" ht="27" x14ac:dyDescent="0.2">
      <c r="A90" s="45" t="s">
        <v>205</v>
      </c>
      <c r="B90" s="47" t="s">
        <v>216</v>
      </c>
      <c r="C90" s="43">
        <f>C88+C89</f>
        <v>431.95749999999998</v>
      </c>
      <c r="D90" s="50" t="s">
        <v>10</v>
      </c>
      <c r="E90" s="50"/>
      <c r="F90" s="42">
        <f t="shared" si="4"/>
        <v>0</v>
      </c>
    </row>
    <row r="91" spans="1:9" s="1" customFormat="1" ht="40.5" x14ac:dyDescent="0.2">
      <c r="A91" s="45" t="s">
        <v>206</v>
      </c>
      <c r="B91" s="47" t="s">
        <v>193</v>
      </c>
      <c r="C91" s="43">
        <f>2.81+4.08+1.2+1.2+1.2</f>
        <v>10.489999999999998</v>
      </c>
      <c r="D91" s="50" t="s">
        <v>10</v>
      </c>
      <c r="E91" s="50"/>
      <c r="F91" s="42">
        <f t="shared" si="4"/>
        <v>0</v>
      </c>
    </row>
    <row r="92" spans="1:9" s="1" customFormat="1" ht="13.5" x14ac:dyDescent="0.2">
      <c r="A92" s="45" t="s">
        <v>207</v>
      </c>
      <c r="B92" s="47" t="s">
        <v>220</v>
      </c>
      <c r="C92" s="43">
        <f>C94*1.12</f>
        <v>37.945600000000006</v>
      </c>
      <c r="D92" s="50" t="s">
        <v>10</v>
      </c>
      <c r="E92" s="50"/>
      <c r="F92" s="42">
        <f t="shared" si="4"/>
        <v>0</v>
      </c>
    </row>
    <row r="93" spans="1:9" s="1" customFormat="1" ht="13.5" x14ac:dyDescent="0.2">
      <c r="A93" s="45" t="s">
        <v>208</v>
      </c>
      <c r="B93" s="47" t="s">
        <v>221</v>
      </c>
      <c r="C93" s="43">
        <f>C95*1.12</f>
        <v>73.86399999999999</v>
      </c>
      <c r="D93" s="50" t="s">
        <v>10</v>
      </c>
      <c r="E93" s="50"/>
      <c r="F93" s="42">
        <f t="shared" si="4"/>
        <v>0</v>
      </c>
    </row>
    <row r="94" spans="1:9" s="1" customFormat="1" ht="13.5" x14ac:dyDescent="0.2">
      <c r="A94" s="45" t="s">
        <v>209</v>
      </c>
      <c r="B94" s="47" t="s">
        <v>325</v>
      </c>
      <c r="C94" s="43">
        <f>(6.8+8.6)*2.2</f>
        <v>33.880000000000003</v>
      </c>
      <c r="D94" s="50" t="s">
        <v>10</v>
      </c>
      <c r="E94" s="50"/>
      <c r="F94" s="42">
        <f t="shared" si="4"/>
        <v>0</v>
      </c>
    </row>
    <row r="95" spans="1:9" s="1" customFormat="1" ht="12.6" customHeight="1" x14ac:dyDescent="0.2">
      <c r="A95" s="45" t="s">
        <v>210</v>
      </c>
      <c r="B95" s="47" t="s">
        <v>326</v>
      </c>
      <c r="C95" s="43">
        <f>10.44+9.43+4.18+15.91+17+4.08+2.81+2.1</f>
        <v>65.949999999999989</v>
      </c>
      <c r="D95" s="50" t="s">
        <v>10</v>
      </c>
      <c r="E95" s="50"/>
      <c r="F95" s="42">
        <f t="shared" ref="F95" si="5">C95*E95</f>
        <v>0</v>
      </c>
    </row>
    <row r="96" spans="1:9" s="1" customFormat="1" ht="27" x14ac:dyDescent="0.2">
      <c r="A96" s="45" t="s">
        <v>211</v>
      </c>
      <c r="B96" s="47" t="s">
        <v>194</v>
      </c>
      <c r="C96" s="43">
        <f>14.14+15.8+9.2+16.36+16.8+2.9</f>
        <v>75.2</v>
      </c>
      <c r="D96" s="50" t="s">
        <v>18</v>
      </c>
      <c r="E96" s="50"/>
      <c r="F96" s="42">
        <f t="shared" si="4"/>
        <v>0</v>
      </c>
    </row>
    <row r="97" spans="1:6" s="1" customFormat="1" ht="40.5" x14ac:dyDescent="0.2">
      <c r="A97" s="45" t="s">
        <v>212</v>
      </c>
      <c r="B97" s="47" t="s">
        <v>222</v>
      </c>
      <c r="C97" s="43">
        <f>1.2*0.9</f>
        <v>1.08</v>
      </c>
      <c r="D97" s="51" t="s">
        <v>10</v>
      </c>
      <c r="E97" s="51"/>
      <c r="F97" s="42">
        <f t="shared" si="4"/>
        <v>0</v>
      </c>
    </row>
    <row r="98" spans="1:6" s="1" customFormat="1" ht="27" x14ac:dyDescent="0.2">
      <c r="A98" s="45" t="s">
        <v>213</v>
      </c>
      <c r="B98" s="47" t="s">
        <v>195</v>
      </c>
      <c r="C98" s="43">
        <f>2.81+4.08</f>
        <v>6.8900000000000006</v>
      </c>
      <c r="D98" s="51" t="s">
        <v>10</v>
      </c>
      <c r="E98" s="51"/>
      <c r="F98" s="42">
        <f t="shared" si="4"/>
        <v>0</v>
      </c>
    </row>
    <row r="99" spans="1:6" s="1" customFormat="1" ht="13.5" x14ac:dyDescent="0.2">
      <c r="A99" s="45" t="s">
        <v>214</v>
      </c>
      <c r="B99" s="47" t="s">
        <v>327</v>
      </c>
      <c r="C99" s="43">
        <f>1.1*5</f>
        <v>5.5</v>
      </c>
      <c r="D99" s="50" t="s">
        <v>18</v>
      </c>
      <c r="E99" s="50"/>
      <c r="F99" s="42">
        <f t="shared" si="4"/>
        <v>0</v>
      </c>
    </row>
    <row r="100" spans="1:6" s="1" customFormat="1" ht="27" x14ac:dyDescent="0.2">
      <c r="A100" s="45" t="s">
        <v>215</v>
      </c>
      <c r="B100" s="47" t="s">
        <v>293</v>
      </c>
      <c r="C100" s="43">
        <f>104.24*(0.3+0.18)</f>
        <v>50.035199999999996</v>
      </c>
      <c r="D100" s="41" t="s">
        <v>10</v>
      </c>
      <c r="E100" s="40"/>
      <c r="F100" s="42">
        <f t="shared" ref="F100" si="6">C100*E100</f>
        <v>0</v>
      </c>
    </row>
    <row r="101" spans="1:6" s="1" customFormat="1" x14ac:dyDescent="0.2">
      <c r="A101" s="49" t="s">
        <v>179</v>
      </c>
      <c r="B101" s="34" t="s">
        <v>217</v>
      </c>
      <c r="C101" s="35">
        <v>1</v>
      </c>
      <c r="D101" s="36" t="s">
        <v>7</v>
      </c>
      <c r="E101" s="35">
        <f>F101/C101</f>
        <v>0</v>
      </c>
      <c r="F101" s="37">
        <f>SUM(F102:F125)</f>
        <v>0</v>
      </c>
    </row>
    <row r="102" spans="1:6" s="1" customFormat="1" ht="27" x14ac:dyDescent="0.2">
      <c r="A102" s="45" t="s">
        <v>223</v>
      </c>
      <c r="B102" s="47" t="s">
        <v>329</v>
      </c>
      <c r="C102" s="43">
        <f>5.4*(10+9.17)-4*3</f>
        <v>91.518000000000015</v>
      </c>
      <c r="D102" s="41" t="s">
        <v>10</v>
      </c>
      <c r="E102" s="40"/>
      <c r="F102" s="42">
        <f t="shared" si="4"/>
        <v>0</v>
      </c>
    </row>
    <row r="103" spans="1:6" s="1" customFormat="1" ht="27" x14ac:dyDescent="0.2">
      <c r="A103" s="45" t="s">
        <v>224</v>
      </c>
      <c r="B103" s="47" t="s">
        <v>200</v>
      </c>
      <c r="C103" s="43">
        <f>3.5*(3.4*2+1.81)</f>
        <v>30.134999999999998</v>
      </c>
      <c r="D103" s="41" t="s">
        <v>10</v>
      </c>
      <c r="E103" s="40"/>
      <c r="F103" s="42">
        <f t="shared" ref="F103" si="7">C103*E103</f>
        <v>0</v>
      </c>
    </row>
    <row r="104" spans="1:6" s="1" customFormat="1" ht="27" x14ac:dyDescent="0.2">
      <c r="A104" s="45" t="s">
        <v>225</v>
      </c>
      <c r="B104" s="47" t="s">
        <v>199</v>
      </c>
      <c r="C104" s="43">
        <f>3.5*(4.98+2.4)</f>
        <v>25.830000000000002</v>
      </c>
      <c r="D104" s="41" t="s">
        <v>10</v>
      </c>
      <c r="E104" s="40"/>
      <c r="F104" s="42">
        <f t="shared" si="4"/>
        <v>0</v>
      </c>
    </row>
    <row r="105" spans="1:6" s="1" customFormat="1" ht="27" x14ac:dyDescent="0.2">
      <c r="A105" s="45" t="s">
        <v>226</v>
      </c>
      <c r="B105" s="47" t="s">
        <v>218</v>
      </c>
      <c r="C105" s="43">
        <f>(2.86+3.79)*3.5</f>
        <v>23.275000000000002</v>
      </c>
      <c r="D105" s="41" t="s">
        <v>10</v>
      </c>
      <c r="E105" s="40"/>
      <c r="F105" s="42">
        <f t="shared" si="4"/>
        <v>0</v>
      </c>
    </row>
    <row r="106" spans="1:6" s="1" customFormat="1" ht="13.5" x14ac:dyDescent="0.2">
      <c r="A106" s="45" t="s">
        <v>227</v>
      </c>
      <c r="B106" s="47" t="s">
        <v>333</v>
      </c>
      <c r="C106" s="43">
        <v>1</v>
      </c>
      <c r="D106" s="41" t="s">
        <v>7</v>
      </c>
      <c r="E106" s="40"/>
      <c r="F106" s="42">
        <f t="shared" ref="F106" si="8">C106*E106</f>
        <v>0</v>
      </c>
    </row>
    <row r="107" spans="1:6" s="1" customFormat="1" ht="13.5" x14ac:dyDescent="0.2">
      <c r="A107" s="45" t="s">
        <v>228</v>
      </c>
      <c r="B107" s="47" t="s">
        <v>219</v>
      </c>
      <c r="C107" s="43">
        <v>2</v>
      </c>
      <c r="D107" s="41" t="s">
        <v>7</v>
      </c>
      <c r="E107" s="40"/>
      <c r="F107" s="42">
        <f t="shared" si="4"/>
        <v>0</v>
      </c>
    </row>
    <row r="108" spans="1:6" s="1" customFormat="1" ht="13.5" x14ac:dyDescent="0.2">
      <c r="A108" s="45" t="s">
        <v>229</v>
      </c>
      <c r="B108" s="47" t="s">
        <v>244</v>
      </c>
      <c r="C108" s="43">
        <f>27.31*4+3.41*5.43*2</f>
        <v>146.27260000000001</v>
      </c>
      <c r="D108" s="41" t="s">
        <v>10</v>
      </c>
      <c r="E108" s="40"/>
      <c r="F108" s="42">
        <f t="shared" si="4"/>
        <v>0</v>
      </c>
    </row>
    <row r="109" spans="1:6" s="1" customFormat="1" ht="16.149999999999999" customHeight="1" x14ac:dyDescent="0.2">
      <c r="A109" s="45" t="s">
        <v>230</v>
      </c>
      <c r="B109" s="47" t="s">
        <v>330</v>
      </c>
      <c r="C109" s="43">
        <f>3*(17.94+10.66+10.7+10.55+6.5+7.2)+0.75*(5.72+7.08+6.78+7.18)+5.4*15.59</f>
        <v>294.90599999999995</v>
      </c>
      <c r="D109" s="50" t="s">
        <v>10</v>
      </c>
      <c r="E109" s="50"/>
      <c r="F109" s="42">
        <f t="shared" si="4"/>
        <v>0</v>
      </c>
    </row>
    <row r="110" spans="1:6" s="1" customFormat="1" ht="40.5" x14ac:dyDescent="0.2">
      <c r="A110" s="45" t="s">
        <v>231</v>
      </c>
      <c r="B110" s="47" t="s">
        <v>193</v>
      </c>
      <c r="C110" s="43">
        <f>1.91+2.75+2.39+3.07+1.2+3*2+1.2+1.2</f>
        <v>19.72</v>
      </c>
      <c r="D110" s="50" t="s">
        <v>10</v>
      </c>
      <c r="E110" s="50"/>
      <c r="F110" s="42">
        <f t="shared" si="4"/>
        <v>0</v>
      </c>
    </row>
    <row r="111" spans="1:6" s="1" customFormat="1" ht="13.5" x14ac:dyDescent="0.2">
      <c r="A111" s="45" t="s">
        <v>232</v>
      </c>
      <c r="B111" s="47" t="s">
        <v>220</v>
      </c>
      <c r="C111" s="43">
        <f>C113*1.12</f>
        <v>69.333600000000004</v>
      </c>
      <c r="D111" s="50" t="s">
        <v>10</v>
      </c>
      <c r="E111" s="50"/>
      <c r="F111" s="42">
        <f t="shared" si="4"/>
        <v>0</v>
      </c>
    </row>
    <row r="112" spans="1:6" s="1" customFormat="1" ht="13.5" x14ac:dyDescent="0.2">
      <c r="A112" s="45" t="s">
        <v>233</v>
      </c>
      <c r="B112" s="47" t="s">
        <v>221</v>
      </c>
      <c r="C112" s="43">
        <f>C114*1.12</f>
        <v>45.2256</v>
      </c>
      <c r="D112" s="50" t="s">
        <v>10</v>
      </c>
      <c r="E112" s="50"/>
      <c r="F112" s="42">
        <f t="shared" si="4"/>
        <v>0</v>
      </c>
    </row>
    <row r="113" spans="1:6" s="1" customFormat="1" ht="13.5" x14ac:dyDescent="0.2">
      <c r="A113" s="45" t="s">
        <v>234</v>
      </c>
      <c r="B113" s="47" t="s">
        <v>325</v>
      </c>
      <c r="C113" s="43">
        <f>2.25*(5.72+7.08+7.18)+2.5*6.78</f>
        <v>61.905000000000001</v>
      </c>
      <c r="D113" s="50" t="s">
        <v>10</v>
      </c>
      <c r="E113" s="50"/>
      <c r="F113" s="42">
        <f t="shared" si="4"/>
        <v>0</v>
      </c>
    </row>
    <row r="114" spans="1:6" s="1" customFormat="1" ht="20.45" customHeight="1" x14ac:dyDescent="0.2">
      <c r="A114" s="45" t="s">
        <v>235</v>
      </c>
      <c r="B114" s="47" t="s">
        <v>326</v>
      </c>
      <c r="C114" s="43">
        <f>4.2+4.2+6.63+6.26+1.91+2.75+2.39+3.07+2.6+6.37</f>
        <v>40.379999999999995</v>
      </c>
      <c r="D114" s="50" t="s">
        <v>10</v>
      </c>
      <c r="E114" s="50"/>
      <c r="F114" s="42">
        <f t="shared" ref="F114" si="9">C114*E114</f>
        <v>0</v>
      </c>
    </row>
    <row r="115" spans="1:6" s="1" customFormat="1" ht="27" x14ac:dyDescent="0.2">
      <c r="A115" s="45" t="s">
        <v>236</v>
      </c>
      <c r="B115" s="47" t="s">
        <v>194</v>
      </c>
      <c r="C115" s="43">
        <f>10.7+10.55+6.5+11.16</f>
        <v>38.909999999999997</v>
      </c>
      <c r="D115" s="50" t="s">
        <v>18</v>
      </c>
      <c r="E115" s="50"/>
      <c r="F115" s="42">
        <f t="shared" si="4"/>
        <v>0</v>
      </c>
    </row>
    <row r="116" spans="1:6" s="1" customFormat="1" ht="27" x14ac:dyDescent="0.2">
      <c r="A116" s="45" t="s">
        <v>237</v>
      </c>
      <c r="B116" s="47" t="s">
        <v>334</v>
      </c>
      <c r="C116" s="43">
        <f>18*1.4</f>
        <v>25.2</v>
      </c>
      <c r="D116" s="50" t="s">
        <v>18</v>
      </c>
      <c r="E116" s="50"/>
      <c r="F116" s="42">
        <f t="shared" si="4"/>
        <v>0</v>
      </c>
    </row>
    <row r="117" spans="1:6" s="1" customFormat="1" ht="27" x14ac:dyDescent="0.2">
      <c r="A117" s="45" t="s">
        <v>238</v>
      </c>
      <c r="B117" s="47" t="s">
        <v>335</v>
      </c>
      <c r="C117" s="43">
        <f>6.58+2.8+2.8+6.58+1.54+1.4+5.075</f>
        <v>26.774999999999995</v>
      </c>
      <c r="D117" s="50" t="s">
        <v>18</v>
      </c>
      <c r="E117" s="50"/>
      <c r="F117" s="42">
        <f t="shared" ref="F117" si="10">C117*E117</f>
        <v>0</v>
      </c>
    </row>
    <row r="118" spans="1:6" s="1" customFormat="1" ht="27" x14ac:dyDescent="0.2">
      <c r="A118" s="45" t="s">
        <v>239</v>
      </c>
      <c r="B118" s="47" t="s">
        <v>243</v>
      </c>
      <c r="C118" s="43">
        <f>18.6+6.56+6.63+6.26+1.91+2.75+2.39+3.07+2.6+6.37+14</f>
        <v>71.139999999999986</v>
      </c>
      <c r="D118" s="51" t="s">
        <v>10</v>
      </c>
      <c r="E118" s="51"/>
      <c r="F118" s="42">
        <f t="shared" si="4"/>
        <v>0</v>
      </c>
    </row>
    <row r="119" spans="1:6" s="1" customFormat="1" ht="13.5" x14ac:dyDescent="0.2">
      <c r="A119" s="45" t="s">
        <v>240</v>
      </c>
      <c r="B119" s="47" t="s">
        <v>327</v>
      </c>
      <c r="C119" s="43">
        <f>1.1*4+2.1*1</f>
        <v>6.5</v>
      </c>
      <c r="D119" s="50" t="s">
        <v>18</v>
      </c>
      <c r="E119" s="50"/>
      <c r="F119" s="42">
        <f t="shared" si="4"/>
        <v>0</v>
      </c>
    </row>
    <row r="120" spans="1:6" s="1" customFormat="1" ht="13.5" x14ac:dyDescent="0.2">
      <c r="A120" s="45" t="s">
        <v>241</v>
      </c>
      <c r="B120" s="39" t="s">
        <v>196</v>
      </c>
      <c r="C120" s="43">
        <f>C121*1.08</f>
        <v>27.172800000000002</v>
      </c>
      <c r="D120" s="51" t="s">
        <v>10</v>
      </c>
      <c r="E120" s="51"/>
      <c r="F120" s="42">
        <f t="shared" si="4"/>
        <v>0</v>
      </c>
    </row>
    <row r="121" spans="1:6" s="1" customFormat="1" ht="27" x14ac:dyDescent="0.2">
      <c r="A121" s="45" t="s">
        <v>242</v>
      </c>
      <c r="B121" s="39" t="s">
        <v>197</v>
      </c>
      <c r="C121" s="43">
        <f>18.6+6.56</f>
        <v>25.16</v>
      </c>
      <c r="D121" s="51" t="s">
        <v>10</v>
      </c>
      <c r="E121" s="51"/>
      <c r="F121" s="42">
        <f t="shared" si="4"/>
        <v>0</v>
      </c>
    </row>
    <row r="122" spans="1:6" s="1" customFormat="1" ht="27" x14ac:dyDescent="0.2">
      <c r="A122" s="45" t="s">
        <v>292</v>
      </c>
      <c r="B122" s="39" t="s">
        <v>198</v>
      </c>
      <c r="C122" s="43">
        <f>17.94+10.66</f>
        <v>28.6</v>
      </c>
      <c r="D122" s="51" t="s">
        <v>18</v>
      </c>
      <c r="E122" s="51"/>
      <c r="F122" s="42">
        <f t="shared" si="4"/>
        <v>0</v>
      </c>
    </row>
    <row r="123" spans="1:6" s="1" customFormat="1" ht="27" x14ac:dyDescent="0.2">
      <c r="A123" s="45" t="s">
        <v>323</v>
      </c>
      <c r="B123" s="47" t="s">
        <v>161</v>
      </c>
      <c r="C123" s="43">
        <f>4.9+1.4+0.5+2.5+2.5</f>
        <v>11.8</v>
      </c>
      <c r="D123" s="41" t="s">
        <v>18</v>
      </c>
      <c r="E123" s="40"/>
      <c r="F123" s="42">
        <f t="shared" si="4"/>
        <v>0</v>
      </c>
    </row>
    <row r="124" spans="1:6" s="1" customFormat="1" ht="27" x14ac:dyDescent="0.2">
      <c r="A124" s="45" t="s">
        <v>331</v>
      </c>
      <c r="B124" s="47" t="s">
        <v>332</v>
      </c>
      <c r="C124" s="43">
        <v>3.98</v>
      </c>
      <c r="D124" s="41" t="s">
        <v>18</v>
      </c>
      <c r="E124" s="40"/>
      <c r="F124" s="42">
        <f t="shared" si="4"/>
        <v>0</v>
      </c>
    </row>
    <row r="125" spans="1:6" s="1" customFormat="1" ht="13.5" x14ac:dyDescent="0.2">
      <c r="A125" s="45" t="s">
        <v>336</v>
      </c>
      <c r="B125" s="47" t="s">
        <v>277</v>
      </c>
      <c r="C125" s="43">
        <v>1</v>
      </c>
      <c r="D125" s="41" t="s">
        <v>7</v>
      </c>
      <c r="E125" s="40"/>
      <c r="F125" s="42">
        <f t="shared" si="4"/>
        <v>0</v>
      </c>
    </row>
    <row r="126" spans="1:6" s="1" customFormat="1" x14ac:dyDescent="0.2">
      <c r="A126" s="33" t="s">
        <v>86</v>
      </c>
      <c r="B126" s="34" t="s">
        <v>275</v>
      </c>
      <c r="C126" s="35">
        <v>1</v>
      </c>
      <c r="D126" s="36" t="s">
        <v>7</v>
      </c>
      <c r="E126" s="35">
        <f>F126/C126</f>
        <v>0</v>
      </c>
      <c r="F126" s="37">
        <f>SUM(F127,F133)</f>
        <v>0</v>
      </c>
    </row>
    <row r="127" spans="1:6" s="1" customFormat="1" x14ac:dyDescent="0.2">
      <c r="A127" s="49" t="s">
        <v>73</v>
      </c>
      <c r="B127" s="34" t="s">
        <v>191</v>
      </c>
      <c r="C127" s="35">
        <v>1</v>
      </c>
      <c r="D127" s="36" t="s">
        <v>7</v>
      </c>
      <c r="E127" s="35">
        <f>F127/C127</f>
        <v>0</v>
      </c>
      <c r="F127" s="37">
        <f>SUM(F128:F131)</f>
        <v>0</v>
      </c>
    </row>
    <row r="128" spans="1:6" s="1" customFormat="1" ht="40.5" x14ac:dyDescent="0.2">
      <c r="A128" s="45" t="s">
        <v>263</v>
      </c>
      <c r="B128" s="47" t="s">
        <v>288</v>
      </c>
      <c r="C128" s="43">
        <v>3</v>
      </c>
      <c r="D128" s="41" t="s">
        <v>144</v>
      </c>
      <c r="E128" s="40"/>
      <c r="F128" s="42">
        <f t="shared" ref="F128:F159" si="11">C128*E128</f>
        <v>0</v>
      </c>
    </row>
    <row r="129" spans="1:6" s="1" customFormat="1" ht="40.5" x14ac:dyDescent="0.2">
      <c r="A129" s="45" t="s">
        <v>264</v>
      </c>
      <c r="B129" s="47" t="s">
        <v>289</v>
      </c>
      <c r="C129" s="43">
        <v>3</v>
      </c>
      <c r="D129" s="41" t="s">
        <v>144</v>
      </c>
      <c r="E129" s="40"/>
      <c r="F129" s="42">
        <f t="shared" si="11"/>
        <v>0</v>
      </c>
    </row>
    <row r="130" spans="1:6" s="1" customFormat="1" ht="54" x14ac:dyDescent="0.2">
      <c r="A130" s="45" t="s">
        <v>265</v>
      </c>
      <c r="B130" s="47" t="s">
        <v>290</v>
      </c>
      <c r="C130" s="43">
        <v>1</v>
      </c>
      <c r="D130" s="41" t="s">
        <v>144</v>
      </c>
      <c r="E130" s="40"/>
      <c r="F130" s="42">
        <f t="shared" si="11"/>
        <v>0</v>
      </c>
    </row>
    <row r="131" spans="1:6" s="1" customFormat="1" ht="40.5" x14ac:dyDescent="0.2">
      <c r="A131" s="45" t="s">
        <v>266</v>
      </c>
      <c r="B131" s="47" t="s">
        <v>268</v>
      </c>
      <c r="C131" s="43">
        <v>1</v>
      </c>
      <c r="D131" s="41" t="s">
        <v>144</v>
      </c>
      <c r="E131" s="40"/>
      <c r="F131" s="42">
        <f t="shared" si="11"/>
        <v>0</v>
      </c>
    </row>
    <row r="132" spans="1:6" s="1" customFormat="1" ht="27" x14ac:dyDescent="0.2">
      <c r="A132" s="45" t="s">
        <v>319</v>
      </c>
      <c r="B132" s="47" t="s">
        <v>320</v>
      </c>
      <c r="C132" s="43">
        <v>1</v>
      </c>
      <c r="D132" s="41" t="s">
        <v>144</v>
      </c>
      <c r="E132" s="40"/>
      <c r="F132" s="42">
        <f t="shared" ref="F132" si="12">C132*E132</f>
        <v>0</v>
      </c>
    </row>
    <row r="133" spans="1:6" s="1" customFormat="1" x14ac:dyDescent="0.2">
      <c r="A133" s="49" t="s">
        <v>74</v>
      </c>
      <c r="B133" s="34" t="s">
        <v>217</v>
      </c>
      <c r="C133" s="35">
        <v>1</v>
      </c>
      <c r="D133" s="36" t="s">
        <v>7</v>
      </c>
      <c r="E133" s="35">
        <f>F133/C133</f>
        <v>0</v>
      </c>
      <c r="F133" s="37">
        <f>SUM(F134:F139)</f>
        <v>0</v>
      </c>
    </row>
    <row r="134" spans="1:6" s="1" customFormat="1" ht="43.15" customHeight="1" x14ac:dyDescent="0.2">
      <c r="A134" s="45" t="s">
        <v>267</v>
      </c>
      <c r="B134" s="47" t="s">
        <v>289</v>
      </c>
      <c r="C134" s="43">
        <v>2</v>
      </c>
      <c r="D134" s="41" t="s">
        <v>144</v>
      </c>
      <c r="E134" s="40"/>
      <c r="F134" s="42">
        <f t="shared" si="11"/>
        <v>0</v>
      </c>
    </row>
    <row r="135" spans="1:6" s="1" customFormat="1" ht="40.5" x14ac:dyDescent="0.2">
      <c r="A135" s="45" t="s">
        <v>271</v>
      </c>
      <c r="B135" s="47" t="s">
        <v>269</v>
      </c>
      <c r="C135" s="43">
        <v>3</v>
      </c>
      <c r="D135" s="41" t="s">
        <v>144</v>
      </c>
      <c r="E135" s="40"/>
      <c r="F135" s="42">
        <f t="shared" si="11"/>
        <v>0</v>
      </c>
    </row>
    <row r="136" spans="1:6" s="1" customFormat="1" ht="40.5" x14ac:dyDescent="0.2">
      <c r="A136" s="45" t="s">
        <v>272</v>
      </c>
      <c r="B136" s="47" t="s">
        <v>270</v>
      </c>
      <c r="C136" s="43">
        <v>3</v>
      </c>
      <c r="D136" s="41" t="s">
        <v>144</v>
      </c>
      <c r="E136" s="40"/>
      <c r="F136" s="42">
        <f t="shared" si="11"/>
        <v>0</v>
      </c>
    </row>
    <row r="137" spans="1:6" s="1" customFormat="1" ht="27" x14ac:dyDescent="0.2">
      <c r="A137" s="45" t="s">
        <v>273</v>
      </c>
      <c r="B137" s="47" t="s">
        <v>321</v>
      </c>
      <c r="C137" s="43">
        <v>1</v>
      </c>
      <c r="D137" s="41" t="s">
        <v>144</v>
      </c>
      <c r="E137" s="40"/>
      <c r="F137" s="42">
        <f t="shared" si="11"/>
        <v>0</v>
      </c>
    </row>
    <row r="138" spans="1:6" s="1" customFormat="1" ht="27" x14ac:dyDescent="0.2">
      <c r="A138" s="45" t="s">
        <v>274</v>
      </c>
      <c r="B138" s="47" t="s">
        <v>322</v>
      </c>
      <c r="C138" s="43">
        <v>1</v>
      </c>
      <c r="D138" s="41" t="s">
        <v>144</v>
      </c>
      <c r="E138" s="40"/>
      <c r="F138" s="42">
        <f t="shared" si="11"/>
        <v>0</v>
      </c>
    </row>
    <row r="139" spans="1:6" s="1" customFormat="1" ht="27" x14ac:dyDescent="0.2">
      <c r="A139" s="45" t="s">
        <v>276</v>
      </c>
      <c r="B139" s="47" t="s">
        <v>337</v>
      </c>
      <c r="C139" s="43">
        <v>1</v>
      </c>
      <c r="D139" s="41" t="s">
        <v>144</v>
      </c>
      <c r="E139" s="40"/>
      <c r="F139" s="42">
        <f t="shared" si="11"/>
        <v>0</v>
      </c>
    </row>
    <row r="140" spans="1:6" s="1" customFormat="1" x14ac:dyDescent="0.2">
      <c r="A140" s="33" t="s">
        <v>88</v>
      </c>
      <c r="B140" s="34" t="s">
        <v>89</v>
      </c>
      <c r="C140" s="35">
        <v>1</v>
      </c>
      <c r="D140" s="36" t="s">
        <v>7</v>
      </c>
      <c r="E140" s="35">
        <f>F140/C140</f>
        <v>0</v>
      </c>
      <c r="F140" s="37">
        <f>SUM(F141:F149)</f>
        <v>0</v>
      </c>
    </row>
    <row r="141" spans="1:6" s="1" customFormat="1" ht="27" x14ac:dyDescent="0.2">
      <c r="A141" s="45" t="s">
        <v>90</v>
      </c>
      <c r="B141" s="47" t="s">
        <v>182</v>
      </c>
      <c r="C141" s="43">
        <v>1</v>
      </c>
      <c r="D141" s="41" t="s">
        <v>7</v>
      </c>
      <c r="E141" s="40"/>
      <c r="F141" s="42">
        <f t="shared" si="11"/>
        <v>0</v>
      </c>
    </row>
    <row r="142" spans="1:6" s="1" customFormat="1" ht="13.5" x14ac:dyDescent="0.2">
      <c r="A142" s="45" t="s">
        <v>91</v>
      </c>
      <c r="B142" s="47" t="s">
        <v>183</v>
      </c>
      <c r="C142" s="43">
        <v>1</v>
      </c>
      <c r="D142" s="41" t="s">
        <v>7</v>
      </c>
      <c r="E142" s="40"/>
      <c r="F142" s="42">
        <f t="shared" si="11"/>
        <v>0</v>
      </c>
    </row>
    <row r="143" spans="1:6" s="1" customFormat="1" ht="13.5" x14ac:dyDescent="0.2">
      <c r="A143" s="45" t="s">
        <v>92</v>
      </c>
      <c r="B143" s="47" t="s">
        <v>291</v>
      </c>
      <c r="C143" s="43">
        <v>1</v>
      </c>
      <c r="D143" s="41" t="s">
        <v>7</v>
      </c>
      <c r="E143" s="40"/>
      <c r="F143" s="42">
        <f t="shared" si="11"/>
        <v>0</v>
      </c>
    </row>
    <row r="144" spans="1:6" s="1" customFormat="1" ht="13.5" x14ac:dyDescent="0.2">
      <c r="A144" s="45" t="s">
        <v>128</v>
      </c>
      <c r="B144" s="47" t="s">
        <v>184</v>
      </c>
      <c r="C144" s="43">
        <v>1</v>
      </c>
      <c r="D144" s="41" t="s">
        <v>7</v>
      </c>
      <c r="E144" s="40"/>
      <c r="F144" s="42">
        <f t="shared" si="11"/>
        <v>0</v>
      </c>
    </row>
    <row r="145" spans="1:6" s="1" customFormat="1" ht="27" x14ac:dyDescent="0.2">
      <c r="A145" s="45" t="s">
        <v>93</v>
      </c>
      <c r="B145" s="47" t="s">
        <v>295</v>
      </c>
      <c r="C145" s="43">
        <v>1</v>
      </c>
      <c r="D145" s="41" t="s">
        <v>7</v>
      </c>
      <c r="E145" s="40"/>
      <c r="F145" s="42">
        <f t="shared" si="11"/>
        <v>0</v>
      </c>
    </row>
    <row r="146" spans="1:6" s="1" customFormat="1" ht="14.45" customHeight="1" x14ac:dyDescent="0.2">
      <c r="A146" s="45" t="s">
        <v>94</v>
      </c>
      <c r="B146" s="47" t="s">
        <v>294</v>
      </c>
      <c r="C146" s="43">
        <v>1</v>
      </c>
      <c r="D146" s="41" t="s">
        <v>7</v>
      </c>
      <c r="E146" s="40"/>
      <c r="F146" s="42">
        <f t="shared" si="11"/>
        <v>0</v>
      </c>
    </row>
    <row r="147" spans="1:6" s="1" customFormat="1" ht="13.5" x14ac:dyDescent="0.2">
      <c r="A147" s="45" t="s">
        <v>250</v>
      </c>
      <c r="B147" s="47" t="s">
        <v>95</v>
      </c>
      <c r="C147" s="43">
        <v>1</v>
      </c>
      <c r="D147" s="41" t="s">
        <v>7</v>
      </c>
      <c r="E147" s="40"/>
      <c r="F147" s="42">
        <f t="shared" si="11"/>
        <v>0</v>
      </c>
    </row>
    <row r="148" spans="1:6" s="1" customFormat="1" ht="27" x14ac:dyDescent="0.2">
      <c r="A148" s="45" t="s">
        <v>251</v>
      </c>
      <c r="B148" s="47" t="s">
        <v>308</v>
      </c>
      <c r="C148" s="43">
        <v>1</v>
      </c>
      <c r="D148" s="41" t="s">
        <v>7</v>
      </c>
      <c r="E148" s="40"/>
      <c r="F148" s="42">
        <f t="shared" si="11"/>
        <v>0</v>
      </c>
    </row>
    <row r="149" spans="1:6" s="1" customFormat="1" ht="13.5" x14ac:dyDescent="0.2">
      <c r="A149" s="45" t="s">
        <v>309</v>
      </c>
      <c r="B149" s="47" t="s">
        <v>310</v>
      </c>
      <c r="C149" s="43">
        <v>1</v>
      </c>
      <c r="D149" s="41" t="s">
        <v>7</v>
      </c>
      <c r="E149" s="40"/>
      <c r="F149" s="42">
        <f t="shared" si="11"/>
        <v>0</v>
      </c>
    </row>
    <row r="150" spans="1:6" s="1" customFormat="1" x14ac:dyDescent="0.2">
      <c r="A150" s="33" t="s">
        <v>96</v>
      </c>
      <c r="B150" s="34" t="s">
        <v>116</v>
      </c>
      <c r="C150" s="35">
        <v>1</v>
      </c>
      <c r="D150" s="36" t="s">
        <v>7</v>
      </c>
      <c r="E150" s="35">
        <f>F150/C150</f>
        <v>0</v>
      </c>
      <c r="F150" s="37">
        <f>SUM(F151:F157)</f>
        <v>0</v>
      </c>
    </row>
    <row r="151" spans="1:6" s="1" customFormat="1" ht="13.5" x14ac:dyDescent="0.2">
      <c r="A151" s="45" t="s">
        <v>97</v>
      </c>
      <c r="B151" s="47" t="s">
        <v>98</v>
      </c>
      <c r="C151" s="43">
        <v>1</v>
      </c>
      <c r="D151" s="41" t="s">
        <v>7</v>
      </c>
      <c r="E151" s="40"/>
      <c r="F151" s="42">
        <f t="shared" si="11"/>
        <v>0</v>
      </c>
    </row>
    <row r="152" spans="1:6" s="1" customFormat="1" ht="27" x14ac:dyDescent="0.2">
      <c r="A152" s="45" t="s">
        <v>99</v>
      </c>
      <c r="B152" s="47" t="s">
        <v>100</v>
      </c>
      <c r="C152" s="43">
        <v>1</v>
      </c>
      <c r="D152" s="41" t="s">
        <v>7</v>
      </c>
      <c r="E152" s="40"/>
      <c r="F152" s="42">
        <f t="shared" si="11"/>
        <v>0</v>
      </c>
    </row>
    <row r="153" spans="1:6" s="1" customFormat="1" ht="13.5" x14ac:dyDescent="0.2">
      <c r="A153" s="45" t="s">
        <v>101</v>
      </c>
      <c r="B153" s="47" t="s">
        <v>102</v>
      </c>
      <c r="C153" s="43">
        <v>1</v>
      </c>
      <c r="D153" s="41" t="s">
        <v>7</v>
      </c>
      <c r="E153" s="40"/>
      <c r="F153" s="42">
        <f t="shared" si="11"/>
        <v>0</v>
      </c>
    </row>
    <row r="154" spans="1:6" s="1" customFormat="1" ht="27" x14ac:dyDescent="0.2">
      <c r="A154" s="45" t="s">
        <v>124</v>
      </c>
      <c r="B154" s="47" t="s">
        <v>315</v>
      </c>
      <c r="C154" s="43">
        <v>1</v>
      </c>
      <c r="D154" s="41"/>
      <c r="E154" s="40"/>
      <c r="F154" s="42">
        <f t="shared" si="11"/>
        <v>0</v>
      </c>
    </row>
    <row r="155" spans="1:6" s="1" customFormat="1" ht="27" x14ac:dyDescent="0.2">
      <c r="A155" s="45" t="s">
        <v>126</v>
      </c>
      <c r="B155" s="47" t="s">
        <v>316</v>
      </c>
      <c r="C155" s="43">
        <v>1</v>
      </c>
      <c r="D155" s="41" t="s">
        <v>7</v>
      </c>
      <c r="E155" s="40"/>
      <c r="F155" s="42">
        <f t="shared" si="11"/>
        <v>0</v>
      </c>
    </row>
    <row r="156" spans="1:6" s="1" customFormat="1" ht="13.5" x14ac:dyDescent="0.2">
      <c r="A156" s="45" t="s">
        <v>177</v>
      </c>
      <c r="B156" s="47" t="s">
        <v>181</v>
      </c>
      <c r="C156" s="43">
        <v>1</v>
      </c>
      <c r="D156" s="41" t="s">
        <v>7</v>
      </c>
      <c r="E156" s="40"/>
      <c r="F156" s="42">
        <f t="shared" si="11"/>
        <v>0</v>
      </c>
    </row>
    <row r="157" spans="1:6" s="1" customFormat="1" ht="28.9" customHeight="1" x14ac:dyDescent="0.2">
      <c r="A157" s="45" t="s">
        <v>314</v>
      </c>
      <c r="B157" s="47" t="s">
        <v>311</v>
      </c>
      <c r="C157" s="43">
        <v>1</v>
      </c>
      <c r="D157" s="41" t="s">
        <v>7</v>
      </c>
      <c r="E157" s="40"/>
      <c r="F157" s="42">
        <f t="shared" si="11"/>
        <v>0</v>
      </c>
    </row>
    <row r="158" spans="1:6" s="1" customFormat="1" x14ac:dyDescent="0.2">
      <c r="A158" s="33" t="s">
        <v>252</v>
      </c>
      <c r="B158" s="34" t="s">
        <v>125</v>
      </c>
      <c r="C158" s="35">
        <v>1</v>
      </c>
      <c r="D158" s="36" t="s">
        <v>7</v>
      </c>
      <c r="E158" s="35">
        <f>F158/C158</f>
        <v>0</v>
      </c>
      <c r="F158" s="37">
        <f>SUM(F159:F164)</f>
        <v>0</v>
      </c>
    </row>
    <row r="159" spans="1:6" s="1" customFormat="1" ht="13.5" x14ac:dyDescent="0.2">
      <c r="A159" s="48" t="s">
        <v>103</v>
      </c>
      <c r="B159" s="47" t="s">
        <v>127</v>
      </c>
      <c r="C159" s="43">
        <v>1</v>
      </c>
      <c r="D159" s="41" t="s">
        <v>7</v>
      </c>
      <c r="E159" s="40"/>
      <c r="F159" s="42">
        <f t="shared" si="11"/>
        <v>0</v>
      </c>
    </row>
    <row r="160" spans="1:6" s="1" customFormat="1" ht="13.5" x14ac:dyDescent="0.2">
      <c r="A160" s="48" t="s">
        <v>104</v>
      </c>
      <c r="B160" s="47" t="s">
        <v>185</v>
      </c>
      <c r="C160" s="43">
        <v>1</v>
      </c>
      <c r="D160" s="41" t="s">
        <v>7</v>
      </c>
      <c r="E160" s="40"/>
      <c r="F160" s="42">
        <f>C160*E160</f>
        <v>0</v>
      </c>
    </row>
    <row r="161" spans="1:6" s="1" customFormat="1" ht="13.5" x14ac:dyDescent="0.2">
      <c r="A161" s="48" t="s">
        <v>105</v>
      </c>
      <c r="B161" s="47" t="s">
        <v>186</v>
      </c>
      <c r="C161" s="43">
        <v>1</v>
      </c>
      <c r="D161" s="41" t="s">
        <v>7</v>
      </c>
      <c r="E161" s="40"/>
      <c r="F161" s="42">
        <f>C161*E161</f>
        <v>0</v>
      </c>
    </row>
    <row r="162" spans="1:6" s="1" customFormat="1" ht="13.5" x14ac:dyDescent="0.2">
      <c r="A162" s="48" t="s">
        <v>120</v>
      </c>
      <c r="B162" s="47" t="s">
        <v>187</v>
      </c>
      <c r="C162" s="43">
        <v>1</v>
      </c>
      <c r="D162" s="41" t="s">
        <v>7</v>
      </c>
      <c r="E162" s="40"/>
      <c r="F162" s="42">
        <f t="shared" ref="F162:F177" si="13">C162*E162</f>
        <v>0</v>
      </c>
    </row>
    <row r="163" spans="1:6" s="1" customFormat="1" ht="13.5" x14ac:dyDescent="0.2">
      <c r="A163" s="48" t="s">
        <v>121</v>
      </c>
      <c r="B163" s="47" t="s">
        <v>176</v>
      </c>
      <c r="C163" s="43">
        <v>1</v>
      </c>
      <c r="D163" s="41" t="s">
        <v>7</v>
      </c>
      <c r="E163" s="40"/>
      <c r="F163" s="42">
        <f t="shared" si="13"/>
        <v>0</v>
      </c>
    </row>
    <row r="164" spans="1:6" s="1" customFormat="1" ht="40.5" x14ac:dyDescent="0.2">
      <c r="A164" s="48" t="s">
        <v>122</v>
      </c>
      <c r="B164" s="47" t="s">
        <v>347</v>
      </c>
      <c r="C164" s="43">
        <v>1</v>
      </c>
      <c r="D164" s="41" t="s">
        <v>7</v>
      </c>
      <c r="E164" s="40"/>
      <c r="F164" s="42">
        <f t="shared" si="13"/>
        <v>0</v>
      </c>
    </row>
    <row r="165" spans="1:6" s="1" customFormat="1" ht="16.149999999999999" customHeight="1" x14ac:dyDescent="0.2">
      <c r="A165" s="33" t="s">
        <v>253</v>
      </c>
      <c r="B165" s="34" t="s">
        <v>67</v>
      </c>
      <c r="C165" s="35">
        <v>1</v>
      </c>
      <c r="D165" s="36" t="s">
        <v>7</v>
      </c>
      <c r="E165" s="35">
        <f>F165/C165</f>
        <v>0</v>
      </c>
      <c r="F165" s="37">
        <f>SUM(F166:F177)</f>
        <v>0</v>
      </c>
    </row>
    <row r="166" spans="1:6" s="1" customFormat="1" ht="27" x14ac:dyDescent="0.2">
      <c r="A166" s="48" t="s">
        <v>254</v>
      </c>
      <c r="B166" s="39" t="s">
        <v>132</v>
      </c>
      <c r="C166" s="43">
        <f>11</f>
        <v>11</v>
      </c>
      <c r="D166" s="41" t="s">
        <v>18</v>
      </c>
      <c r="E166" s="40"/>
      <c r="F166" s="42">
        <f t="shared" si="13"/>
        <v>0</v>
      </c>
    </row>
    <row r="167" spans="1:6" s="1" customFormat="1" ht="27" x14ac:dyDescent="0.2">
      <c r="A167" s="48" t="s">
        <v>255</v>
      </c>
      <c r="B167" s="39" t="s">
        <v>346</v>
      </c>
      <c r="C167" s="43">
        <f>12.2+19.1+17.9+16.81</f>
        <v>66.010000000000005</v>
      </c>
      <c r="D167" s="41" t="s">
        <v>18</v>
      </c>
      <c r="E167" s="40"/>
      <c r="F167" s="42">
        <f t="shared" ref="F167" si="14">C167*E167</f>
        <v>0</v>
      </c>
    </row>
    <row r="168" spans="1:6" s="1" customFormat="1" ht="13.5" x14ac:dyDescent="0.2">
      <c r="A168" s="48" t="s">
        <v>256</v>
      </c>
      <c r="B168" s="39" t="s">
        <v>75</v>
      </c>
      <c r="C168" s="43">
        <v>548.64</v>
      </c>
      <c r="D168" s="41" t="s">
        <v>13</v>
      </c>
      <c r="E168" s="40"/>
      <c r="F168" s="42">
        <f t="shared" si="13"/>
        <v>0</v>
      </c>
    </row>
    <row r="169" spans="1:6" s="1" customFormat="1" ht="27" x14ac:dyDescent="0.2">
      <c r="A169" s="48" t="s">
        <v>257</v>
      </c>
      <c r="B169" s="39" t="s">
        <v>339</v>
      </c>
      <c r="C169" s="43">
        <f>558.8</f>
        <v>558.79999999999995</v>
      </c>
      <c r="D169" s="41" t="s">
        <v>13</v>
      </c>
      <c r="E169" s="40"/>
      <c r="F169" s="42">
        <f t="shared" si="13"/>
        <v>0</v>
      </c>
    </row>
    <row r="170" spans="1:6" s="1" customFormat="1" ht="67.5" x14ac:dyDescent="0.2">
      <c r="A170" s="48" t="s">
        <v>258</v>
      </c>
      <c r="B170" s="39" t="s">
        <v>163</v>
      </c>
      <c r="C170" s="43">
        <v>425</v>
      </c>
      <c r="D170" s="41" t="s">
        <v>10</v>
      </c>
      <c r="E170" s="40"/>
      <c r="F170" s="42">
        <f t="shared" si="13"/>
        <v>0</v>
      </c>
    </row>
    <row r="171" spans="1:6" s="1" customFormat="1" ht="40.5" x14ac:dyDescent="0.2">
      <c r="A171" s="48" t="s">
        <v>259</v>
      </c>
      <c r="B171" s="39" t="s">
        <v>343</v>
      </c>
      <c r="C171" s="43">
        <v>28.6</v>
      </c>
      <c r="D171" s="41" t="s">
        <v>10</v>
      </c>
      <c r="E171" s="40"/>
      <c r="F171" s="42">
        <f t="shared" si="13"/>
        <v>0</v>
      </c>
    </row>
    <row r="172" spans="1:6" s="1" customFormat="1" ht="54" x14ac:dyDescent="0.2">
      <c r="A172" s="48" t="s">
        <v>260</v>
      </c>
      <c r="B172" s="39" t="s">
        <v>106</v>
      </c>
      <c r="C172" s="43">
        <f>31+90-11</f>
        <v>110</v>
      </c>
      <c r="D172" s="41" t="s">
        <v>18</v>
      </c>
      <c r="E172" s="40"/>
      <c r="F172" s="42">
        <f t="shared" si="13"/>
        <v>0</v>
      </c>
    </row>
    <row r="173" spans="1:6" s="1" customFormat="1" ht="40.5" x14ac:dyDescent="0.2">
      <c r="A173" s="48" t="s">
        <v>261</v>
      </c>
      <c r="B173" s="39" t="s">
        <v>131</v>
      </c>
      <c r="C173" s="43">
        <v>1</v>
      </c>
      <c r="D173" s="41" t="s">
        <v>7</v>
      </c>
      <c r="E173" s="40"/>
      <c r="F173" s="42">
        <f t="shared" si="13"/>
        <v>0</v>
      </c>
    </row>
    <row r="174" spans="1:6" s="1" customFormat="1" ht="40.5" x14ac:dyDescent="0.2">
      <c r="A174" s="48" t="s">
        <v>262</v>
      </c>
      <c r="B174" s="53" t="s">
        <v>117</v>
      </c>
      <c r="C174" s="43">
        <v>1</v>
      </c>
      <c r="D174" s="54" t="s">
        <v>7</v>
      </c>
      <c r="E174" s="55"/>
      <c r="F174" s="42">
        <f t="shared" si="13"/>
        <v>0</v>
      </c>
    </row>
    <row r="175" spans="1:6" s="1" customFormat="1" ht="27" x14ac:dyDescent="0.2">
      <c r="A175" s="48" t="s">
        <v>344</v>
      </c>
      <c r="B175" s="39" t="s">
        <v>123</v>
      </c>
      <c r="C175" s="43">
        <v>101.6</v>
      </c>
      <c r="D175" s="41" t="s">
        <v>18</v>
      </c>
      <c r="E175" s="40"/>
      <c r="F175" s="42">
        <f t="shared" ref="F175" si="15">C175*E175</f>
        <v>0</v>
      </c>
    </row>
    <row r="176" spans="1:6" s="1" customFormat="1" ht="13.5" x14ac:dyDescent="0.2">
      <c r="A176" s="48" t="s">
        <v>345</v>
      </c>
      <c r="B176" s="39" t="s">
        <v>349</v>
      </c>
      <c r="C176" s="43">
        <v>1</v>
      </c>
      <c r="D176" s="41" t="s">
        <v>7</v>
      </c>
      <c r="E176" s="40"/>
      <c r="F176" s="42">
        <f>C176*E176</f>
        <v>0</v>
      </c>
    </row>
    <row r="177" spans="1:6" s="1" customFormat="1" ht="27.75" thickBot="1" x14ac:dyDescent="0.25">
      <c r="A177" s="48" t="s">
        <v>348</v>
      </c>
      <c r="B177" s="39" t="s">
        <v>129</v>
      </c>
      <c r="C177" s="43">
        <v>562</v>
      </c>
      <c r="D177" s="41" t="s">
        <v>10</v>
      </c>
      <c r="E177" s="40"/>
      <c r="F177" s="42">
        <f t="shared" si="13"/>
        <v>0</v>
      </c>
    </row>
    <row r="178" spans="1:6" s="1" customFormat="1" ht="14.45" customHeight="1" thickBot="1" x14ac:dyDescent="0.25">
      <c r="A178" s="65" t="s">
        <v>63</v>
      </c>
      <c r="B178" s="66"/>
      <c r="C178" s="66"/>
      <c r="D178" s="66"/>
      <c r="E178" s="67"/>
      <c r="F178" s="20">
        <f>SUM(F4,F16,F23,F45,F52,F58,F65,F77,F84,F140,F150,F158,F165)</f>
        <v>0</v>
      </c>
    </row>
    <row r="179" spans="1:6" s="1" customFormat="1" ht="22.9" customHeight="1" thickTop="1" x14ac:dyDescent="0.2">
      <c r="A179" s="21"/>
      <c r="B179" s="22"/>
      <c r="C179" s="23"/>
      <c r="D179" s="21"/>
      <c r="E179" s="24"/>
      <c r="F179" s="25"/>
    </row>
    <row r="180" spans="1:6" ht="15" hidden="1" thickBot="1" x14ac:dyDescent="0.25">
      <c r="A180" s="59" t="s">
        <v>26</v>
      </c>
      <c r="B180" s="60"/>
      <c r="C180" s="60"/>
      <c r="D180" s="60"/>
      <c r="E180" s="61"/>
      <c r="F180" s="26" t="e">
        <f>#REF!*0.02</f>
        <v>#REF!</v>
      </c>
    </row>
    <row r="181" spans="1:6" ht="15" hidden="1" thickBot="1" x14ac:dyDescent="0.25">
      <c r="A181" s="62" t="s">
        <v>27</v>
      </c>
      <c r="B181" s="63"/>
      <c r="C181" s="63"/>
      <c r="D181" s="63"/>
      <c r="E181" s="64"/>
      <c r="F181" s="27" t="e">
        <f>#REF!-F180</f>
        <v>#REF!</v>
      </c>
    </row>
    <row r="182" spans="1:6" ht="13.5" x14ac:dyDescent="0.25">
      <c r="A182" s="28" t="s">
        <v>245</v>
      </c>
      <c r="B182" s="29"/>
      <c r="C182" s="29"/>
      <c r="D182" s="29"/>
      <c r="E182" s="30"/>
      <c r="F182" s="31"/>
    </row>
    <row r="183" spans="1:6" ht="13.5" x14ac:dyDescent="0.25">
      <c r="A183" s="29"/>
      <c r="B183" s="29"/>
      <c r="C183" s="29"/>
      <c r="D183" s="29"/>
      <c r="E183" s="29"/>
      <c r="F183" s="32"/>
    </row>
    <row r="184" spans="1:6" x14ac:dyDescent="0.2">
      <c r="A184" s="58"/>
      <c r="B184" s="58"/>
      <c r="C184" s="58"/>
    </row>
    <row r="185" spans="1:6" x14ac:dyDescent="0.2">
      <c r="A185" s="2"/>
      <c r="B185" s="2"/>
      <c r="C185" s="56"/>
      <c r="D185" s="56"/>
      <c r="E185" s="56"/>
      <c r="F185" s="56"/>
    </row>
    <row r="186" spans="1:6" x14ac:dyDescent="0.2">
      <c r="C186" s="3"/>
      <c r="D186" s="3"/>
      <c r="E186" s="3"/>
      <c r="F186" s="4"/>
    </row>
    <row r="187" spans="1:6" x14ac:dyDescent="0.2">
      <c r="C187" s="56"/>
      <c r="D187" s="56"/>
      <c r="E187" s="56"/>
      <c r="F187" s="56"/>
    </row>
    <row r="189" spans="1:6" x14ac:dyDescent="0.2">
      <c r="F189" s="5"/>
    </row>
    <row r="192" spans="1:6" x14ac:dyDescent="0.2">
      <c r="F192" s="5"/>
    </row>
  </sheetData>
  <mergeCells count="7">
    <mergeCell ref="C187:F187"/>
    <mergeCell ref="A1:F1"/>
    <mergeCell ref="C185:F185"/>
    <mergeCell ref="A184:C184"/>
    <mergeCell ref="A180:E180"/>
    <mergeCell ref="A181:E181"/>
    <mergeCell ref="A178:E178"/>
  </mergeCells>
  <printOptions horizontalCentered="1"/>
  <pageMargins left="0.15748031496062992" right="0.15748031496062992" top="0.46" bottom="0.4" header="0.27559055118110237" footer="0.27559055118110237"/>
  <pageSetup paperSize="9" scale="75" fitToHeight="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abSelected="1" zoomScale="120" zoomScaleNormal="120" workbookViewId="0">
      <selection activeCell="B20" sqref="B20"/>
    </sheetView>
  </sheetViews>
  <sheetFormatPr defaultRowHeight="12.75" x14ac:dyDescent="0.2"/>
  <cols>
    <col min="1" max="1" width="7" customWidth="1"/>
    <col min="2" max="2" width="55.42578125" customWidth="1"/>
    <col min="3" max="3" width="7.7109375" bestFit="1" customWidth="1"/>
    <col min="4" max="4" width="7.42578125" customWidth="1"/>
    <col min="5" max="5" width="11.140625" bestFit="1" customWidth="1"/>
    <col min="6" max="6" width="19.140625" customWidth="1"/>
    <col min="7" max="7" width="12.28515625" bestFit="1" customWidth="1"/>
    <col min="8" max="8" width="14" customWidth="1"/>
    <col min="9" max="9" width="14.7109375" customWidth="1"/>
    <col min="10" max="10" width="12.28515625" customWidth="1"/>
    <col min="11" max="11" width="8.85546875" customWidth="1"/>
    <col min="12" max="12" width="13.28515625" bestFit="1" customWidth="1"/>
  </cols>
  <sheetData>
    <row r="1" spans="1:12" ht="95.45" customHeight="1" x14ac:dyDescent="0.2">
      <c r="A1" s="57" t="s">
        <v>317</v>
      </c>
      <c r="B1" s="57"/>
      <c r="C1" s="57"/>
      <c r="D1" s="57"/>
      <c r="E1" s="57"/>
      <c r="F1" s="57"/>
    </row>
    <row r="2" spans="1:12" ht="13.5" thickBot="1" x14ac:dyDescent="0.25">
      <c r="A2" s="11"/>
      <c r="B2" s="11"/>
      <c r="C2" s="11"/>
      <c r="D2" s="11"/>
      <c r="E2" s="11"/>
      <c r="F2" s="11"/>
    </row>
    <row r="3" spans="1:12" ht="46.9" customHeight="1" thickTop="1" thickBot="1" x14ac:dyDescent="0.25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4" t="s">
        <v>5</v>
      </c>
      <c r="H3" s="9">
        <v>1</v>
      </c>
    </row>
    <row r="4" spans="1:12" ht="13.5" customHeight="1" x14ac:dyDescent="0.2">
      <c r="A4" s="15" t="s">
        <v>6</v>
      </c>
      <c r="B4" s="16" t="s">
        <v>51</v>
      </c>
      <c r="C4" s="17">
        <v>1</v>
      </c>
      <c r="D4" s="18" t="s">
        <v>7</v>
      </c>
      <c r="E4" s="17">
        <f>'TABELA ELEMENTÓW ROBÓT'!F4</f>
        <v>0</v>
      </c>
      <c r="F4" s="19">
        <f>C4*E4</f>
        <v>0</v>
      </c>
      <c r="H4" s="7"/>
    </row>
    <row r="5" spans="1:12" ht="13.5" customHeight="1" x14ac:dyDescent="0.2">
      <c r="A5" s="15" t="s">
        <v>14</v>
      </c>
      <c r="B5" s="16" t="s">
        <v>52</v>
      </c>
      <c r="C5" s="17">
        <v>1</v>
      </c>
      <c r="D5" s="18" t="s">
        <v>7</v>
      </c>
      <c r="E5" s="17">
        <f>'TABELA ELEMENTÓW ROBÓT'!F16</f>
        <v>0</v>
      </c>
      <c r="F5" s="19">
        <f t="shared" ref="F5:F17" si="0">C5*E5</f>
        <v>0</v>
      </c>
      <c r="H5" s="7"/>
      <c r="L5" s="10"/>
    </row>
    <row r="6" spans="1:12" x14ac:dyDescent="0.2">
      <c r="A6" s="15" t="s">
        <v>19</v>
      </c>
      <c r="B6" s="16" t="s">
        <v>55</v>
      </c>
      <c r="C6" s="17">
        <v>1</v>
      </c>
      <c r="D6" s="18" t="s">
        <v>7</v>
      </c>
      <c r="E6" s="17">
        <f>'TABELA ELEMENTÓW ROBÓT'!F23</f>
        <v>0</v>
      </c>
      <c r="F6" s="19">
        <f t="shared" si="0"/>
        <v>0</v>
      </c>
    </row>
    <row r="7" spans="1:12" s="1" customFormat="1" x14ac:dyDescent="0.2">
      <c r="A7" s="15" t="s">
        <v>21</v>
      </c>
      <c r="B7" s="16" t="s">
        <v>171</v>
      </c>
      <c r="C7" s="17">
        <v>1</v>
      </c>
      <c r="D7" s="18" t="s">
        <v>7</v>
      </c>
      <c r="E7" s="17">
        <f>'TABELA ELEMENTÓW ROBÓT'!F45</f>
        <v>0</v>
      </c>
      <c r="F7" s="19">
        <f t="shared" si="0"/>
        <v>0</v>
      </c>
      <c r="H7" s="8"/>
      <c r="I7"/>
    </row>
    <row r="8" spans="1:12" s="1" customFormat="1" x14ac:dyDescent="0.2">
      <c r="A8" s="15" t="s">
        <v>29</v>
      </c>
      <c r="B8" s="16" t="s">
        <v>61</v>
      </c>
      <c r="C8" s="17">
        <v>1</v>
      </c>
      <c r="D8" s="18" t="s">
        <v>7</v>
      </c>
      <c r="E8" s="17">
        <f>'TABELA ELEMENTÓW ROBÓT'!F52</f>
        <v>0</v>
      </c>
      <c r="F8" s="19">
        <f t="shared" si="0"/>
        <v>0</v>
      </c>
      <c r="H8" s="8"/>
      <c r="I8"/>
    </row>
    <row r="9" spans="1:12" s="1" customFormat="1" x14ac:dyDescent="0.2">
      <c r="A9" s="15" t="s">
        <v>23</v>
      </c>
      <c r="B9" s="16" t="s">
        <v>37</v>
      </c>
      <c r="C9" s="17">
        <v>1</v>
      </c>
      <c r="D9" s="18" t="s">
        <v>7</v>
      </c>
      <c r="E9" s="17">
        <f>'TABELA ELEMENTÓW ROBÓT'!F58</f>
        <v>0</v>
      </c>
      <c r="F9" s="19">
        <f t="shared" si="0"/>
        <v>0</v>
      </c>
      <c r="H9" s="8"/>
    </row>
    <row r="10" spans="1:12" s="1" customFormat="1" x14ac:dyDescent="0.2">
      <c r="A10" s="15" t="s">
        <v>25</v>
      </c>
      <c r="B10" s="16" t="s">
        <v>38</v>
      </c>
      <c r="C10" s="17">
        <v>1</v>
      </c>
      <c r="D10" s="18" t="s">
        <v>7</v>
      </c>
      <c r="E10" s="17">
        <f>'TABELA ELEMENTÓW ROBÓT'!F65</f>
        <v>0</v>
      </c>
      <c r="F10" s="19">
        <f t="shared" si="0"/>
        <v>0</v>
      </c>
      <c r="H10" s="8"/>
    </row>
    <row r="11" spans="1:12" s="1" customFormat="1" ht="12.6" customHeight="1" x14ac:dyDescent="0.2">
      <c r="A11" s="15" t="s">
        <v>41</v>
      </c>
      <c r="B11" s="16" t="s">
        <v>39</v>
      </c>
      <c r="C11" s="17">
        <v>1</v>
      </c>
      <c r="D11" s="18" t="s">
        <v>7</v>
      </c>
      <c r="E11" s="17">
        <f>'TABELA ELEMENTÓW ROBÓT'!F77</f>
        <v>0</v>
      </c>
      <c r="F11" s="19">
        <f t="shared" si="0"/>
        <v>0</v>
      </c>
      <c r="H11" s="8"/>
    </row>
    <row r="12" spans="1:12" s="1" customFormat="1" x14ac:dyDescent="0.2">
      <c r="A12" s="15" t="s">
        <v>71</v>
      </c>
      <c r="B12" s="16" t="s">
        <v>87</v>
      </c>
      <c r="C12" s="17">
        <v>1</v>
      </c>
      <c r="D12" s="18" t="s">
        <v>7</v>
      </c>
      <c r="E12" s="17">
        <f>'TABELA ELEMENTÓW ROBÓT'!F84</f>
        <v>0</v>
      </c>
      <c r="F12" s="19">
        <f t="shared" si="0"/>
        <v>0</v>
      </c>
      <c r="H12" s="6"/>
      <c r="I12" s="6"/>
      <c r="J12" s="6"/>
    </row>
    <row r="13" spans="1:12" s="1" customFormat="1" x14ac:dyDescent="0.2">
      <c r="A13" s="15" t="s">
        <v>247</v>
      </c>
      <c r="B13" s="16" t="s">
        <v>89</v>
      </c>
      <c r="C13" s="17">
        <v>1</v>
      </c>
      <c r="D13" s="18" t="s">
        <v>7</v>
      </c>
      <c r="E13" s="17">
        <f>'TABELA ELEMENTÓW ROBÓT'!F140</f>
        <v>0</v>
      </c>
      <c r="F13" s="19">
        <f>C13*E13</f>
        <v>0</v>
      </c>
      <c r="H13" s="8"/>
      <c r="J13" s="6"/>
    </row>
    <row r="14" spans="1:12" s="1" customFormat="1" ht="15" customHeight="1" x14ac:dyDescent="0.2">
      <c r="A14" s="15" t="s">
        <v>248</v>
      </c>
      <c r="B14" s="16" t="s">
        <v>275</v>
      </c>
      <c r="C14" s="17">
        <v>1</v>
      </c>
      <c r="D14" s="18" t="s">
        <v>7</v>
      </c>
      <c r="E14" s="17">
        <f>'TABELA ELEMENTÓW ROBÓT'!F126</f>
        <v>0</v>
      </c>
      <c r="F14" s="19">
        <f>C14*E14</f>
        <v>0</v>
      </c>
      <c r="H14" s="8"/>
      <c r="J14" s="6"/>
    </row>
    <row r="15" spans="1:12" s="1" customFormat="1" x14ac:dyDescent="0.2">
      <c r="A15" s="15" t="s">
        <v>249</v>
      </c>
      <c r="B15" s="16" t="s">
        <v>116</v>
      </c>
      <c r="C15" s="17">
        <v>1</v>
      </c>
      <c r="D15" s="18" t="s">
        <v>7</v>
      </c>
      <c r="E15" s="17">
        <f>'TABELA ELEMENTÓW ROBÓT'!F140</f>
        <v>0</v>
      </c>
      <c r="F15" s="19">
        <f t="shared" si="0"/>
        <v>0</v>
      </c>
      <c r="H15" s="8"/>
      <c r="J15" s="6"/>
    </row>
    <row r="16" spans="1:12" s="1" customFormat="1" x14ac:dyDescent="0.2">
      <c r="A16" s="15" t="s">
        <v>119</v>
      </c>
      <c r="B16" s="16" t="s">
        <v>125</v>
      </c>
      <c r="C16" s="17">
        <v>1</v>
      </c>
      <c r="D16" s="18" t="s">
        <v>7</v>
      </c>
      <c r="E16" s="17">
        <f>'TABELA ELEMENTÓW ROBÓT'!F158</f>
        <v>0</v>
      </c>
      <c r="F16" s="19">
        <f t="shared" si="0"/>
        <v>0</v>
      </c>
      <c r="H16" s="8"/>
      <c r="J16" s="6"/>
    </row>
    <row r="17" spans="1:8" s="1" customFormat="1" ht="16.149999999999999" customHeight="1" thickBot="1" x14ac:dyDescent="0.25">
      <c r="A17" s="15" t="s">
        <v>253</v>
      </c>
      <c r="B17" s="16" t="s">
        <v>67</v>
      </c>
      <c r="C17" s="17">
        <v>1</v>
      </c>
      <c r="D17" s="18" t="s">
        <v>7</v>
      </c>
      <c r="E17" s="17">
        <f>'TABELA ELEMENTÓW ROBÓT'!F165</f>
        <v>0</v>
      </c>
      <c r="F17" s="19">
        <f t="shared" si="0"/>
        <v>0</v>
      </c>
    </row>
    <row r="18" spans="1:8" s="1" customFormat="1" ht="14.45" customHeight="1" thickBot="1" x14ac:dyDescent="0.25">
      <c r="A18" s="65" t="s">
        <v>63</v>
      </c>
      <c r="B18" s="66"/>
      <c r="C18" s="66"/>
      <c r="D18" s="66"/>
      <c r="E18" s="67"/>
      <c r="F18" s="20">
        <f>SUM(F4,F5,F6,F7,F8,F9,F10,F11,F12,F13,F14,F15,F16,F17)</f>
        <v>0</v>
      </c>
    </row>
    <row r="19" spans="1:8" s="1" customFormat="1" ht="18" customHeight="1" thickTop="1" x14ac:dyDescent="0.2">
      <c r="A19" s="21"/>
      <c r="B19" s="22"/>
      <c r="C19" s="23"/>
      <c r="D19" s="21"/>
      <c r="E19" s="24"/>
      <c r="F19" s="25"/>
      <c r="H19" s="8"/>
    </row>
    <row r="20" spans="1:8" ht="13.5" x14ac:dyDescent="0.25">
      <c r="A20" s="28" t="s">
        <v>245</v>
      </c>
      <c r="B20" s="29"/>
      <c r="C20" s="29"/>
      <c r="D20" s="29"/>
      <c r="E20" s="30"/>
      <c r="F20" s="31"/>
    </row>
    <row r="21" spans="1:8" ht="13.5" x14ac:dyDescent="0.25">
      <c r="A21" s="29"/>
      <c r="B21" s="29"/>
      <c r="C21" s="29"/>
      <c r="D21" s="29"/>
      <c r="E21" s="29"/>
      <c r="F21" s="32"/>
    </row>
    <row r="22" spans="1:8" x14ac:dyDescent="0.2">
      <c r="A22" s="58"/>
      <c r="B22" s="58"/>
      <c r="C22" s="58"/>
    </row>
    <row r="23" spans="1:8" x14ac:dyDescent="0.2">
      <c r="A23" s="2"/>
      <c r="B23" s="2"/>
      <c r="C23" s="56"/>
      <c r="D23" s="56"/>
      <c r="E23" s="56"/>
      <c r="F23" s="56"/>
    </row>
    <row r="24" spans="1:8" x14ac:dyDescent="0.2">
      <c r="C24" s="3"/>
      <c r="D24" s="3"/>
      <c r="E24" s="3"/>
      <c r="F24" s="4"/>
    </row>
    <row r="25" spans="1:8" x14ac:dyDescent="0.2">
      <c r="C25" s="56"/>
      <c r="D25" s="56"/>
      <c r="E25" s="56"/>
      <c r="F25" s="56"/>
    </row>
    <row r="27" spans="1:8" x14ac:dyDescent="0.2">
      <c r="F27" s="5"/>
    </row>
    <row r="30" spans="1:8" x14ac:dyDescent="0.2">
      <c r="F30" s="5"/>
    </row>
  </sheetData>
  <mergeCells count="5">
    <mergeCell ref="C25:F25"/>
    <mergeCell ref="A1:F1"/>
    <mergeCell ref="A18:E18"/>
    <mergeCell ref="A22:C22"/>
    <mergeCell ref="C23:F23"/>
  </mergeCells>
  <printOptions horizontalCentered="1"/>
  <pageMargins left="0.17" right="0.17" top="0.27559055118110237" bottom="0.27559055118110237" header="0.27559055118110237" footer="0.27559055118110237"/>
  <pageSetup paperSize="9" scale="68" fitToHeight="3" orientation="portrait" useFirstPageNumber="1" r:id="rId1"/>
  <headerFooter alignWithMargins="0"/>
  <ignoredErrors>
    <ignoredError sqref="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TABELA ELEMENTÓW ROBÓT</vt:lpstr>
      <vt:lpstr>TABELA ZBIORCZA</vt:lpstr>
      <vt:lpstr>'TABELA ELEMENTÓW ROBÓT'!Obszar_wydruku</vt:lpstr>
      <vt:lpstr>'TABELA ZBIORCZA'!Obszar_wydruku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bcm1</dc:creator>
  <cp:lastModifiedBy>Roman Raczyński</cp:lastModifiedBy>
  <cp:lastPrinted>2022-02-16T11:14:06Z</cp:lastPrinted>
  <dcterms:created xsi:type="dcterms:W3CDTF">2015-07-06T13:10:09Z</dcterms:created>
  <dcterms:modified xsi:type="dcterms:W3CDTF">2022-02-17T15:34:06Z</dcterms:modified>
</cp:coreProperties>
</file>